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1245" windowWidth="18195" windowHeight="99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Лист1!$13:$14</definedName>
  </definedNames>
  <calcPr calcId="145621"/>
</workbook>
</file>

<file path=xl/calcChain.xml><?xml version="1.0" encoding="utf-8"?>
<calcChain xmlns="http://schemas.openxmlformats.org/spreadsheetml/2006/main">
  <c r="H225" i="1" l="1"/>
  <c r="G225" i="1"/>
  <c r="G251" i="1" l="1"/>
  <c r="G227" i="1"/>
  <c r="H227" i="1" s="1"/>
  <c r="G223" i="1"/>
  <c r="H223" i="1" s="1"/>
  <c r="G172" i="1"/>
  <c r="G101" i="1"/>
  <c r="G42" i="1"/>
  <c r="G232" i="1" l="1"/>
  <c r="G229" i="1" s="1"/>
  <c r="G228" i="1" s="1"/>
  <c r="G201" i="1"/>
  <c r="G190" i="1"/>
  <c r="G144" i="1"/>
  <c r="G132" i="1"/>
  <c r="G97" i="1"/>
  <c r="E97" i="1" s="1"/>
  <c r="E94" i="1" s="1"/>
  <c r="E91" i="1" s="1"/>
  <c r="G98" i="1"/>
  <c r="G96" i="1" s="1"/>
  <c r="G71" i="1"/>
  <c r="E282" i="1"/>
  <c r="E281" i="1"/>
  <c r="E280" i="1"/>
  <c r="E278" i="1" s="1"/>
  <c r="E279" i="1"/>
  <c r="J278" i="1"/>
  <c r="F278" i="1"/>
  <c r="E277" i="1"/>
  <c r="E276" i="1" s="1"/>
  <c r="J276" i="1"/>
  <c r="I276" i="1"/>
  <c r="I275" i="1" s="1"/>
  <c r="I274" i="1" s="1"/>
  <c r="H276" i="1"/>
  <c r="G276" i="1"/>
  <c r="G275" i="1" s="1"/>
  <c r="G274" i="1" s="1"/>
  <c r="F276" i="1"/>
  <c r="H275" i="1"/>
  <c r="H274" i="1" s="1"/>
  <c r="F275" i="1"/>
  <c r="F274" i="1" s="1"/>
  <c r="E273" i="1"/>
  <c r="E272" i="1"/>
  <c r="E271" i="1"/>
  <c r="J270" i="1"/>
  <c r="J269" i="1" s="1"/>
  <c r="J268" i="1" s="1"/>
  <c r="I270" i="1"/>
  <c r="I269" i="1" s="1"/>
  <c r="I268" i="1" s="1"/>
  <c r="H270" i="1"/>
  <c r="H269" i="1" s="1"/>
  <c r="H268" i="1" s="1"/>
  <c r="G270" i="1"/>
  <c r="G269" i="1" s="1"/>
  <c r="G268" i="1" s="1"/>
  <c r="F270" i="1"/>
  <c r="F269" i="1" s="1"/>
  <c r="F268" i="1" s="1"/>
  <c r="E270" i="1"/>
  <c r="E269" i="1" s="1"/>
  <c r="E268" i="1" s="1"/>
  <c r="H267" i="1"/>
  <c r="I267" i="1" s="1"/>
  <c r="I266" i="1" s="1"/>
  <c r="J266" i="1"/>
  <c r="G266" i="1"/>
  <c r="F266" i="1"/>
  <c r="E265" i="1"/>
  <c r="E264" i="1" s="1"/>
  <c r="J264" i="1"/>
  <c r="I264" i="1"/>
  <c r="H264" i="1"/>
  <c r="G264" i="1"/>
  <c r="F264" i="1"/>
  <c r="E263" i="1"/>
  <c r="E262" i="1"/>
  <c r="E261" i="1"/>
  <c r="E260" i="1"/>
  <c r="J259" i="1"/>
  <c r="J256" i="1" s="1"/>
  <c r="I259" i="1"/>
  <c r="H259" i="1"/>
  <c r="G259" i="1"/>
  <c r="E259" i="1"/>
  <c r="I258" i="1"/>
  <c r="I256" i="1" s="1"/>
  <c r="E257" i="1"/>
  <c r="H256" i="1"/>
  <c r="G256" i="1"/>
  <c r="F256" i="1"/>
  <c r="H255" i="1"/>
  <c r="H251" i="1"/>
  <c r="H253" i="1"/>
  <c r="H252" i="1"/>
  <c r="I251" i="1"/>
  <c r="F250" i="1"/>
  <c r="E249" i="1"/>
  <c r="E248" i="1"/>
  <c r="H247" i="1"/>
  <c r="J246" i="1"/>
  <c r="H246" i="1"/>
  <c r="G246" i="1"/>
  <c r="F246" i="1"/>
  <c r="H245" i="1"/>
  <c r="I245" i="1" s="1"/>
  <c r="E245" i="1" s="1"/>
  <c r="H244" i="1"/>
  <c r="E244" i="1" s="1"/>
  <c r="H243" i="1"/>
  <c r="I243" i="1" s="1"/>
  <c r="E243" i="1" s="1"/>
  <c r="H242" i="1"/>
  <c r="I242" i="1" s="1"/>
  <c r="J241" i="1"/>
  <c r="G241" i="1"/>
  <c r="F241" i="1"/>
  <c r="E240" i="1"/>
  <c r="E239" i="1"/>
  <c r="I238" i="1"/>
  <c r="H238" i="1"/>
  <c r="E238" i="1"/>
  <c r="E237" i="1"/>
  <c r="H236" i="1"/>
  <c r="H235" i="1" s="1"/>
  <c r="J235" i="1"/>
  <c r="I235" i="1"/>
  <c r="G235" i="1"/>
  <c r="F235" i="1"/>
  <c r="F234" i="1" s="1"/>
  <c r="E233" i="1"/>
  <c r="E230" i="1" s="1"/>
  <c r="E221" i="1" s="1"/>
  <c r="E218" i="1" s="1"/>
  <c r="J232" i="1"/>
  <c r="J229" i="1" s="1"/>
  <c r="I231" i="1"/>
  <c r="H231" i="1"/>
  <c r="F231" i="1"/>
  <c r="J230" i="1"/>
  <c r="J221" i="1" s="1"/>
  <c r="J218" i="1" s="1"/>
  <c r="I230" i="1"/>
  <c r="I221" i="1" s="1"/>
  <c r="I218" i="1" s="1"/>
  <c r="H230" i="1"/>
  <c r="H221" i="1" s="1"/>
  <c r="H218" i="1" s="1"/>
  <c r="G230" i="1"/>
  <c r="F230" i="1"/>
  <c r="F221" i="1" s="1"/>
  <c r="F218" i="1" s="1"/>
  <c r="I229" i="1"/>
  <c r="I228" i="1" s="1"/>
  <c r="H229" i="1"/>
  <c r="H228" i="1" s="1"/>
  <c r="F229" i="1"/>
  <c r="F228" i="1"/>
  <c r="J226" i="1"/>
  <c r="I226" i="1"/>
  <c r="G226" i="1"/>
  <c r="F226" i="1"/>
  <c r="J225" i="1"/>
  <c r="I225" i="1"/>
  <c r="F225" i="1"/>
  <c r="F222" i="1" s="1"/>
  <c r="J224" i="1"/>
  <c r="J222" i="1" s="1"/>
  <c r="I224" i="1"/>
  <c r="E223" i="1"/>
  <c r="I222" i="1"/>
  <c r="I220" i="1" s="1"/>
  <c r="G221" i="1"/>
  <c r="G218" i="1" s="1"/>
  <c r="I215" i="1"/>
  <c r="E215" i="1" s="1"/>
  <c r="H215" i="1"/>
  <c r="I214" i="1"/>
  <c r="H214" i="1"/>
  <c r="I213" i="1"/>
  <c r="E213" i="1" s="1"/>
  <c r="H213" i="1"/>
  <c r="I212" i="1"/>
  <c r="H212" i="1"/>
  <c r="J212" i="1" s="1"/>
  <c r="J211" i="1" s="1"/>
  <c r="F212" i="1"/>
  <c r="E212" i="1" s="1"/>
  <c r="H211" i="1"/>
  <c r="G211" i="1"/>
  <c r="I210" i="1"/>
  <c r="H210" i="1"/>
  <c r="E210" i="1"/>
  <c r="E209" i="1" s="1"/>
  <c r="J209" i="1"/>
  <c r="I209" i="1"/>
  <c r="H209" i="1"/>
  <c r="G209" i="1"/>
  <c r="F209" i="1"/>
  <c r="H208" i="1"/>
  <c r="I208" i="1" s="1"/>
  <c r="H207" i="1"/>
  <c r="G206" i="1"/>
  <c r="H206" i="1" s="1"/>
  <c r="I206" i="1" s="1"/>
  <c r="J206" i="1" s="1"/>
  <c r="J204" i="1" s="1"/>
  <c r="I205" i="1"/>
  <c r="H205" i="1"/>
  <c r="F204" i="1"/>
  <c r="I203" i="1"/>
  <c r="E203" i="1" s="1"/>
  <c r="I202" i="1"/>
  <c r="E202" i="1" s="1"/>
  <c r="J201" i="1"/>
  <c r="I201" i="1"/>
  <c r="F201" i="1"/>
  <c r="J200" i="1"/>
  <c r="E200" i="1" s="1"/>
  <c r="G199" i="1"/>
  <c r="H199" i="1" s="1"/>
  <c r="I199" i="1" s="1"/>
  <c r="J199" i="1" s="1"/>
  <c r="G198" i="1"/>
  <c r="H198" i="1" s="1"/>
  <c r="I198" i="1" s="1"/>
  <c r="G197" i="1"/>
  <c r="H197" i="1" s="1"/>
  <c r="E197" i="1" s="1"/>
  <c r="H196" i="1"/>
  <c r="I196" i="1" s="1"/>
  <c r="E196" i="1" s="1"/>
  <c r="H195" i="1"/>
  <c r="I195" i="1" s="1"/>
  <c r="E195" i="1" s="1"/>
  <c r="H194" i="1"/>
  <c r="F193" i="1"/>
  <c r="H192" i="1"/>
  <c r="I192" i="1" s="1"/>
  <c r="E192" i="1" s="1"/>
  <c r="E191" i="1"/>
  <c r="I190" i="1"/>
  <c r="J189" i="1"/>
  <c r="J188" i="1" s="1"/>
  <c r="E189" i="1"/>
  <c r="F188" i="1"/>
  <c r="I187" i="1"/>
  <c r="I182" i="1" s="1"/>
  <c r="G186" i="1"/>
  <c r="H186" i="1" s="1"/>
  <c r="E186" i="1" s="1"/>
  <c r="E185" i="1"/>
  <c r="G184" i="1"/>
  <c r="H184" i="1" s="1"/>
  <c r="H182" i="1" s="1"/>
  <c r="E183" i="1"/>
  <c r="J182" i="1"/>
  <c r="F182" i="1"/>
  <c r="E181" i="1"/>
  <c r="E180" i="1"/>
  <c r="E179" i="1"/>
  <c r="E178" i="1"/>
  <c r="I177" i="1"/>
  <c r="H177" i="1"/>
  <c r="G177" i="1"/>
  <c r="I176" i="1"/>
  <c r="J175" i="1"/>
  <c r="H174" i="1"/>
  <c r="F174" i="1"/>
  <c r="I172" i="1"/>
  <c r="I170" i="1" s="1"/>
  <c r="I169" i="1" s="1"/>
  <c r="I168" i="1" s="1"/>
  <c r="I167" i="1" s="1"/>
  <c r="H171" i="1"/>
  <c r="E171" i="1"/>
  <c r="J170" i="1"/>
  <c r="J169" i="1" s="1"/>
  <c r="J168" i="1" s="1"/>
  <c r="J167" i="1" s="1"/>
  <c r="F170" i="1"/>
  <c r="F169" i="1" s="1"/>
  <c r="F168" i="1" s="1"/>
  <c r="F167" i="1" s="1"/>
  <c r="I165" i="1"/>
  <c r="I162" i="1" s="1"/>
  <c r="E165" i="1"/>
  <c r="E164" i="1"/>
  <c r="G163" i="1"/>
  <c r="G162" i="1" s="1"/>
  <c r="J162" i="1"/>
  <c r="F162" i="1"/>
  <c r="H161" i="1"/>
  <c r="I161" i="1" s="1"/>
  <c r="E161" i="1" s="1"/>
  <c r="H160" i="1"/>
  <c r="I160" i="1" s="1"/>
  <c r="E160" i="1" s="1"/>
  <c r="I159" i="1"/>
  <c r="E159" i="1" s="1"/>
  <c r="H159" i="1"/>
  <c r="H158" i="1"/>
  <c r="H157" i="1"/>
  <c r="I157" i="1" s="1"/>
  <c r="E157" i="1" s="1"/>
  <c r="H156" i="1"/>
  <c r="H155" i="1"/>
  <c r="J155" i="1" s="1"/>
  <c r="J154" i="1" s="1"/>
  <c r="G154" i="1"/>
  <c r="F154" i="1"/>
  <c r="I153" i="1"/>
  <c r="E153" i="1"/>
  <c r="J152" i="1"/>
  <c r="I152" i="1"/>
  <c r="H152" i="1"/>
  <c r="G152" i="1"/>
  <c r="F152" i="1"/>
  <c r="E152" i="1"/>
  <c r="I151" i="1"/>
  <c r="E151" i="1"/>
  <c r="I150" i="1"/>
  <c r="E150" i="1"/>
  <c r="E149" i="1"/>
  <c r="I148" i="1"/>
  <c r="I147" i="1" s="1"/>
  <c r="J147" i="1"/>
  <c r="H147" i="1"/>
  <c r="G147" i="1"/>
  <c r="F147" i="1"/>
  <c r="H146" i="1"/>
  <c r="I146" i="1" s="1"/>
  <c r="E146" i="1" s="1"/>
  <c r="I145" i="1"/>
  <c r="E145" i="1"/>
  <c r="J144" i="1"/>
  <c r="F144" i="1"/>
  <c r="F136" i="1" s="1"/>
  <c r="J143" i="1"/>
  <c r="E143" i="1" s="1"/>
  <c r="E142" i="1"/>
  <c r="H141" i="1"/>
  <c r="E141" i="1" s="1"/>
  <c r="I140" i="1"/>
  <c r="E140" i="1" s="1"/>
  <c r="J139" i="1"/>
  <c r="J138" i="1"/>
  <c r="J137" i="1"/>
  <c r="G136" i="1"/>
  <c r="J135" i="1"/>
  <c r="E135" i="1" s="1"/>
  <c r="J134" i="1"/>
  <c r="E134" i="1" s="1"/>
  <c r="E133" i="1"/>
  <c r="J131" i="1"/>
  <c r="I130" i="1"/>
  <c r="F130" i="1"/>
  <c r="E129" i="1"/>
  <c r="E127" i="1" s="1"/>
  <c r="E128" i="1"/>
  <c r="J127" i="1"/>
  <c r="I127" i="1"/>
  <c r="H127" i="1"/>
  <c r="G127" i="1"/>
  <c r="F127" i="1"/>
  <c r="E126" i="1"/>
  <c r="E125" i="1"/>
  <c r="E124" i="1"/>
  <c r="J123" i="1"/>
  <c r="I123" i="1"/>
  <c r="H123" i="1"/>
  <c r="G123" i="1"/>
  <c r="F123" i="1"/>
  <c r="E123" i="1"/>
  <c r="J122" i="1"/>
  <c r="I122" i="1"/>
  <c r="I104" i="1" s="1"/>
  <c r="H122" i="1"/>
  <c r="G122" i="1"/>
  <c r="G120" i="1" s="1"/>
  <c r="F122" i="1"/>
  <c r="F104" i="1" s="1"/>
  <c r="J121" i="1"/>
  <c r="J120" i="1" s="1"/>
  <c r="I121" i="1"/>
  <c r="H121" i="1"/>
  <c r="G121" i="1"/>
  <c r="F121" i="1"/>
  <c r="F120" i="1" s="1"/>
  <c r="H120" i="1"/>
  <c r="E119" i="1"/>
  <c r="H118" i="1"/>
  <c r="E118" i="1"/>
  <c r="E117" i="1"/>
  <c r="E116" i="1"/>
  <c r="E115" i="1"/>
  <c r="E114" i="1"/>
  <c r="J113" i="1"/>
  <c r="I113" i="1"/>
  <c r="H113" i="1"/>
  <c r="G113" i="1"/>
  <c r="F113" i="1"/>
  <c r="E112" i="1"/>
  <c r="E111" i="1"/>
  <c r="E110" i="1"/>
  <c r="E109" i="1"/>
  <c r="I108" i="1"/>
  <c r="I105" i="1" s="1"/>
  <c r="H108" i="1"/>
  <c r="G108" i="1"/>
  <c r="G105" i="1" s="1"/>
  <c r="H107" i="1"/>
  <c r="F107" i="1"/>
  <c r="E107" i="1" s="1"/>
  <c r="J106" i="1"/>
  <c r="J108" i="1" s="1"/>
  <c r="J105" i="1" s="1"/>
  <c r="H105" i="1"/>
  <c r="J104" i="1"/>
  <c r="H104" i="1"/>
  <c r="H101" i="1"/>
  <c r="I101" i="1" s="1"/>
  <c r="I98" i="1" s="1"/>
  <c r="I96" i="1" s="1"/>
  <c r="H100" i="1"/>
  <c r="E100" i="1" s="1"/>
  <c r="H99" i="1"/>
  <c r="F98" i="1"/>
  <c r="F96" i="1" s="1"/>
  <c r="J94" i="1"/>
  <c r="J91" i="1" s="1"/>
  <c r="J88" i="1" s="1"/>
  <c r="I94" i="1"/>
  <c r="H94" i="1"/>
  <c r="H91" i="1" s="1"/>
  <c r="H88" i="1" s="1"/>
  <c r="F94" i="1"/>
  <c r="I91" i="1"/>
  <c r="F91" i="1"/>
  <c r="F88" i="1" s="1"/>
  <c r="I85" i="1"/>
  <c r="E85" i="1" s="1"/>
  <c r="I84" i="1"/>
  <c r="E84" i="1"/>
  <c r="I83" i="1"/>
  <c r="E83" i="1"/>
  <c r="I82" i="1"/>
  <c r="E82" i="1"/>
  <c r="H81" i="1"/>
  <c r="H80" i="1" s="1"/>
  <c r="J80" i="1"/>
  <c r="G80" i="1"/>
  <c r="F80" i="1"/>
  <c r="I79" i="1"/>
  <c r="E79" i="1" s="1"/>
  <c r="E78" i="1" s="1"/>
  <c r="J78" i="1"/>
  <c r="I78" i="1"/>
  <c r="H78" i="1"/>
  <c r="G78" i="1"/>
  <c r="F78" i="1"/>
  <c r="I77" i="1"/>
  <c r="E77" i="1" s="1"/>
  <c r="E76" i="1"/>
  <c r="I75" i="1"/>
  <c r="E75" i="1" s="1"/>
  <c r="E74" i="1" s="1"/>
  <c r="J74" i="1"/>
  <c r="H74" i="1"/>
  <c r="G74" i="1"/>
  <c r="F74" i="1"/>
  <c r="I73" i="1"/>
  <c r="E73" i="1" s="1"/>
  <c r="E72" i="1"/>
  <c r="H63" i="1"/>
  <c r="F71" i="1"/>
  <c r="F63" i="1" s="1"/>
  <c r="E70" i="1"/>
  <c r="E69" i="1"/>
  <c r="E68" i="1"/>
  <c r="E67" i="1"/>
  <c r="I66" i="1"/>
  <c r="E66" i="1" s="1"/>
  <c r="I65" i="1"/>
  <c r="E65" i="1" s="1"/>
  <c r="I64" i="1"/>
  <c r="I63" i="1" s="1"/>
  <c r="J63" i="1"/>
  <c r="G63" i="1"/>
  <c r="F62" i="1"/>
  <c r="E62" i="1" s="1"/>
  <c r="E61" i="1"/>
  <c r="F60" i="1"/>
  <c r="E60" i="1"/>
  <c r="E59" i="1"/>
  <c r="J58" i="1"/>
  <c r="I58" i="1"/>
  <c r="H58" i="1"/>
  <c r="G58" i="1"/>
  <c r="F58" i="1"/>
  <c r="E57" i="1"/>
  <c r="E56" i="1"/>
  <c r="E55" i="1"/>
  <c r="E54" i="1"/>
  <c r="E53" i="1" s="1"/>
  <c r="J53" i="1"/>
  <c r="I53" i="1"/>
  <c r="H53" i="1"/>
  <c r="G53" i="1"/>
  <c r="F53" i="1"/>
  <c r="E52" i="1"/>
  <c r="E51" i="1"/>
  <c r="E50" i="1"/>
  <c r="E49" i="1"/>
  <c r="E48" i="1"/>
  <c r="J47" i="1"/>
  <c r="I47" i="1"/>
  <c r="I44" i="1" s="1"/>
  <c r="H47" i="1"/>
  <c r="G47" i="1"/>
  <c r="E47" i="1" s="1"/>
  <c r="H46" i="1"/>
  <c r="E46" i="1"/>
  <c r="E45" i="1"/>
  <c r="J44" i="1"/>
  <c r="H44" i="1"/>
  <c r="F44" i="1"/>
  <c r="H41" i="1"/>
  <c r="F40" i="1"/>
  <c r="F35" i="1" s="1"/>
  <c r="E39" i="1"/>
  <c r="E38" i="1"/>
  <c r="E37" i="1" s="1"/>
  <c r="J37" i="1"/>
  <c r="I37" i="1"/>
  <c r="H37" i="1"/>
  <c r="G37" i="1"/>
  <c r="F37" i="1"/>
  <c r="E36" i="1"/>
  <c r="E33" i="1" s="1"/>
  <c r="E30" i="1" s="1"/>
  <c r="E27" i="1" s="1"/>
  <c r="J33" i="1"/>
  <c r="I33" i="1"/>
  <c r="I30" i="1" s="1"/>
  <c r="I27" i="1" s="1"/>
  <c r="H33" i="1"/>
  <c r="G33" i="1"/>
  <c r="G30" i="1" s="1"/>
  <c r="G27" i="1" s="1"/>
  <c r="F33" i="1"/>
  <c r="J30" i="1"/>
  <c r="H30" i="1"/>
  <c r="H27" i="1" s="1"/>
  <c r="F30" i="1"/>
  <c r="J27" i="1"/>
  <c r="F27" i="1"/>
  <c r="I24" i="1" l="1"/>
  <c r="I20" i="1" s="1"/>
  <c r="I17" i="1" s="1"/>
  <c r="F173" i="1"/>
  <c r="F166" i="1" s="1"/>
  <c r="H24" i="1"/>
  <c r="H20" i="1" s="1"/>
  <c r="H17" i="1" s="1"/>
  <c r="F43" i="1"/>
  <c r="F24" i="1"/>
  <c r="F20" i="1" s="1"/>
  <c r="F17" i="1" s="1"/>
  <c r="I88" i="1"/>
  <c r="J24" i="1"/>
  <c r="J20" i="1" s="1"/>
  <c r="J17" i="1" s="1"/>
  <c r="E113" i="1"/>
  <c r="E121" i="1"/>
  <c r="J228" i="1"/>
  <c r="H188" i="1"/>
  <c r="G44" i="1"/>
  <c r="G43" i="1" s="1"/>
  <c r="E44" i="1"/>
  <c r="J43" i="1"/>
  <c r="I80" i="1"/>
  <c r="G104" i="1"/>
  <c r="F105" i="1"/>
  <c r="F103" i="1" s="1"/>
  <c r="F102" i="1" s="1"/>
  <c r="E106" i="1"/>
  <c r="I120" i="1"/>
  <c r="E122" i="1"/>
  <c r="E104" i="1" s="1"/>
  <c r="J130" i="1"/>
  <c r="J103" i="1" s="1"/>
  <c r="J102" i="1" s="1"/>
  <c r="J136" i="1"/>
  <c r="I174" i="1"/>
  <c r="E187" i="1"/>
  <c r="I207" i="1"/>
  <c r="E207" i="1" s="1"/>
  <c r="F211" i="1"/>
  <c r="E214" i="1"/>
  <c r="E211" i="1" s="1"/>
  <c r="E224" i="1"/>
  <c r="F220" i="1"/>
  <c r="F217" i="1" s="1"/>
  <c r="F216" i="1" s="1"/>
  <c r="H241" i="1"/>
  <c r="I247" i="1"/>
  <c r="I246" i="1" s="1"/>
  <c r="J275" i="1"/>
  <c r="J274" i="1" s="1"/>
  <c r="E71" i="1"/>
  <c r="E88" i="1"/>
  <c r="E139" i="1"/>
  <c r="I136" i="1"/>
  <c r="E252" i="1"/>
  <c r="H222" i="1"/>
  <c r="E137" i="1"/>
  <c r="G231" i="1"/>
  <c r="E232" i="1"/>
  <c r="E229" i="1" s="1"/>
  <c r="E228" i="1" s="1"/>
  <c r="G222" i="1"/>
  <c r="G220" i="1" s="1"/>
  <c r="E201" i="1"/>
  <c r="H193" i="1"/>
  <c r="G193" i="1"/>
  <c r="E190" i="1"/>
  <c r="E188" i="1" s="1"/>
  <c r="G188" i="1"/>
  <c r="E144" i="1"/>
  <c r="H136" i="1"/>
  <c r="E132" i="1"/>
  <c r="G130" i="1"/>
  <c r="G103" i="1" s="1"/>
  <c r="G102" i="1" s="1"/>
  <c r="H130" i="1"/>
  <c r="G94" i="1"/>
  <c r="E24" i="1"/>
  <c r="E20" i="1" s="1"/>
  <c r="E17" i="1" s="1"/>
  <c r="H98" i="1"/>
  <c r="H96" i="1" s="1"/>
  <c r="H95" i="1" s="1"/>
  <c r="E58" i="1"/>
  <c r="I219" i="1"/>
  <c r="J198" i="1"/>
  <c r="J193" i="1" s="1"/>
  <c r="E227" i="1"/>
  <c r="E226" i="1" s="1"/>
  <c r="H226" i="1"/>
  <c r="J250" i="1"/>
  <c r="J234" i="1" s="1"/>
  <c r="F32" i="1"/>
  <c r="F34" i="1"/>
  <c r="H43" i="1"/>
  <c r="G93" i="1"/>
  <c r="G95" i="1"/>
  <c r="I204" i="1"/>
  <c r="I93" i="1"/>
  <c r="I95" i="1"/>
  <c r="F219" i="1"/>
  <c r="F93" i="1"/>
  <c r="F95" i="1"/>
  <c r="H204" i="1"/>
  <c r="E275" i="1"/>
  <c r="E274" i="1" s="1"/>
  <c r="I241" i="1"/>
  <c r="E242" i="1"/>
  <c r="E241" i="1" s="1"/>
  <c r="J220" i="1"/>
  <c r="E41" i="1"/>
  <c r="I74" i="1"/>
  <c r="E99" i="1"/>
  <c r="J101" i="1"/>
  <c r="J98" i="1" s="1"/>
  <c r="J96" i="1" s="1"/>
  <c r="E138" i="1"/>
  <c r="H154" i="1"/>
  <c r="I156" i="1"/>
  <c r="H163" i="1"/>
  <c r="H162" i="1" s="1"/>
  <c r="G174" i="1"/>
  <c r="E184" i="1"/>
  <c r="E182" i="1" s="1"/>
  <c r="I194" i="1"/>
  <c r="I193" i="1" s="1"/>
  <c r="E206" i="1"/>
  <c r="E208" i="1"/>
  <c r="I211" i="1"/>
  <c r="E225" i="1"/>
  <c r="E222" i="1" s="1"/>
  <c r="E253" i="1"/>
  <c r="I255" i="1"/>
  <c r="I250" i="1" s="1"/>
  <c r="E258" i="1"/>
  <c r="E256" i="1" s="1"/>
  <c r="E267" i="1"/>
  <c r="E266" i="1" s="1"/>
  <c r="G204" i="1"/>
  <c r="E199" i="1"/>
  <c r="E108" i="1"/>
  <c r="E105" i="1" s="1"/>
  <c r="E148" i="1"/>
  <c r="E147" i="1" s="1"/>
  <c r="I158" i="1"/>
  <c r="E158" i="1" s="1"/>
  <c r="G170" i="1"/>
  <c r="H172" i="1"/>
  <c r="H170" i="1" s="1"/>
  <c r="H169" i="1" s="1"/>
  <c r="H168" i="1" s="1"/>
  <c r="H167" i="1" s="1"/>
  <c r="E176" i="1"/>
  <c r="J231" i="1"/>
  <c r="E236" i="1"/>
  <c r="E235" i="1" s="1"/>
  <c r="E81" i="1"/>
  <c r="E80" i="1" s="1"/>
  <c r="E131" i="1"/>
  <c r="I188" i="1"/>
  <c r="I173" i="1" s="1"/>
  <c r="I166" i="1" s="1"/>
  <c r="E205" i="1"/>
  <c r="H254" i="1"/>
  <c r="H250" i="1" s="1"/>
  <c r="H234" i="1" s="1"/>
  <c r="H266" i="1"/>
  <c r="G40" i="1"/>
  <c r="G35" i="1" s="1"/>
  <c r="G32" i="1" s="1"/>
  <c r="H42" i="1"/>
  <c r="I42" i="1" s="1"/>
  <c r="E64" i="1"/>
  <c r="E63" i="1" s="1"/>
  <c r="E175" i="1"/>
  <c r="J177" i="1"/>
  <c r="J174" i="1" s="1"/>
  <c r="J173" i="1" s="1"/>
  <c r="J166" i="1" s="1"/>
  <c r="G250" i="1"/>
  <c r="G234" i="1" s="1"/>
  <c r="E155" i="1"/>
  <c r="G182" i="1"/>
  <c r="E177" i="1" l="1"/>
  <c r="E174" i="1" s="1"/>
  <c r="E204" i="1"/>
  <c r="E194" i="1"/>
  <c r="E193" i="1" s="1"/>
  <c r="I43" i="1"/>
  <c r="E198" i="1"/>
  <c r="E247" i="1"/>
  <c r="E246" i="1" s="1"/>
  <c r="E120" i="1"/>
  <c r="H220" i="1"/>
  <c r="H217" i="1" s="1"/>
  <c r="H216" i="1" s="1"/>
  <c r="E130" i="1"/>
  <c r="E136" i="1"/>
  <c r="E251" i="1"/>
  <c r="G169" i="1"/>
  <c r="E169" i="1" s="1"/>
  <c r="E168" i="1" s="1"/>
  <c r="E254" i="1"/>
  <c r="E220" i="1"/>
  <c r="E219" i="1" s="1"/>
  <c r="E231" i="1"/>
  <c r="H173" i="1"/>
  <c r="H103" i="1"/>
  <c r="H102" i="1" s="1"/>
  <c r="G92" i="1"/>
  <c r="G91" i="1"/>
  <c r="G88" i="1" s="1"/>
  <c r="G24" i="1" s="1"/>
  <c r="G20" i="1" s="1"/>
  <c r="G17" i="1" s="1"/>
  <c r="H93" i="1"/>
  <c r="H90" i="1" s="1"/>
  <c r="E43" i="1"/>
  <c r="I234" i="1"/>
  <c r="I217" i="1" s="1"/>
  <c r="I216" i="1" s="1"/>
  <c r="J42" i="1"/>
  <c r="J40" i="1" s="1"/>
  <c r="J35" i="1" s="1"/>
  <c r="I40" i="1"/>
  <c r="I35" i="1" s="1"/>
  <c r="E255" i="1"/>
  <c r="I154" i="1"/>
  <c r="I103" i="1" s="1"/>
  <c r="I102" i="1" s="1"/>
  <c r="J217" i="1"/>
  <c r="J216" i="1" s="1"/>
  <c r="J219" i="1"/>
  <c r="I90" i="1"/>
  <c r="I92" i="1"/>
  <c r="G34" i="1"/>
  <c r="G90" i="1"/>
  <c r="H40" i="1"/>
  <c r="H35" i="1" s="1"/>
  <c r="E42" i="1"/>
  <c r="E40" i="1" s="1"/>
  <c r="G173" i="1"/>
  <c r="E101" i="1"/>
  <c r="E98" i="1" s="1"/>
  <c r="E163" i="1"/>
  <c r="E162" i="1" s="1"/>
  <c r="E172" i="1"/>
  <c r="E170" i="1" s="1"/>
  <c r="J95" i="1"/>
  <c r="J93" i="1"/>
  <c r="F92" i="1"/>
  <c r="F90" i="1"/>
  <c r="E156" i="1"/>
  <c r="E154" i="1" s="1"/>
  <c r="G219" i="1"/>
  <c r="G217" i="1"/>
  <c r="G216" i="1" s="1"/>
  <c r="F31" i="1"/>
  <c r="F29" i="1"/>
  <c r="H166" i="1"/>
  <c r="E96" i="1"/>
  <c r="E35" i="1" l="1"/>
  <c r="E32" i="1" s="1"/>
  <c r="H219" i="1"/>
  <c r="E103" i="1"/>
  <c r="E102" i="1" s="1"/>
  <c r="E167" i="1"/>
  <c r="G168" i="1"/>
  <c r="G167" i="1" s="1"/>
  <c r="G166" i="1" s="1"/>
  <c r="E250" i="1"/>
  <c r="E234" i="1" s="1"/>
  <c r="E217" i="1" s="1"/>
  <c r="E216" i="1" s="1"/>
  <c r="H92" i="1"/>
  <c r="E34" i="1"/>
  <c r="I89" i="1"/>
  <c r="I87" i="1"/>
  <c r="I86" i="1" s="1"/>
  <c r="H89" i="1"/>
  <c r="H87" i="1"/>
  <c r="H86" i="1" s="1"/>
  <c r="G29" i="1"/>
  <c r="G31" i="1"/>
  <c r="F28" i="1"/>
  <c r="F26" i="1"/>
  <c r="J34" i="1"/>
  <c r="J32" i="1"/>
  <c r="G89" i="1"/>
  <c r="G87" i="1"/>
  <c r="G86" i="1" s="1"/>
  <c r="I34" i="1"/>
  <c r="I32" i="1"/>
  <c r="E173" i="1"/>
  <c r="J90" i="1"/>
  <c r="J92" i="1"/>
  <c r="F89" i="1"/>
  <c r="F87" i="1"/>
  <c r="F86" i="1" s="1"/>
  <c r="E93" i="1"/>
  <c r="E95" i="1"/>
  <c r="H32" i="1"/>
  <c r="H34" i="1"/>
  <c r="E166" i="1" l="1"/>
  <c r="E31" i="1"/>
  <c r="E29" i="1"/>
  <c r="F22" i="1"/>
  <c r="F25" i="1"/>
  <c r="J29" i="1"/>
  <c r="J31" i="1"/>
  <c r="I29" i="1"/>
  <c r="I31" i="1"/>
  <c r="H29" i="1"/>
  <c r="H31" i="1"/>
  <c r="J87" i="1"/>
  <c r="J86" i="1" s="1"/>
  <c r="J89" i="1"/>
  <c r="E92" i="1"/>
  <c r="E90" i="1"/>
  <c r="G28" i="1"/>
  <c r="G26" i="1"/>
  <c r="G22" i="1" s="1"/>
  <c r="G19" i="1" s="1"/>
  <c r="G16" i="1" s="1"/>
  <c r="E26" i="1" l="1"/>
  <c r="E28" i="1"/>
  <c r="H28" i="1"/>
  <c r="H26" i="1"/>
  <c r="J26" i="1"/>
  <c r="J28" i="1"/>
  <c r="E87" i="1"/>
  <c r="E86" i="1" s="1"/>
  <c r="E89" i="1"/>
  <c r="I28" i="1"/>
  <c r="I26" i="1"/>
  <c r="F19" i="1"/>
  <c r="F21" i="1"/>
  <c r="G25" i="1"/>
  <c r="E22" i="1" l="1"/>
  <c r="E25" i="1"/>
  <c r="I25" i="1"/>
  <c r="I22" i="1"/>
  <c r="F18" i="1"/>
  <c r="F16" i="1"/>
  <c r="F15" i="1" s="1"/>
  <c r="H25" i="1"/>
  <c r="H22" i="1"/>
  <c r="J25" i="1"/>
  <c r="J22" i="1"/>
  <c r="G21" i="1"/>
  <c r="G18" i="1" l="1"/>
  <c r="G15" i="1"/>
  <c r="E19" i="1"/>
  <c r="E21" i="1"/>
  <c r="J21" i="1"/>
  <c r="J19" i="1"/>
  <c r="I21" i="1"/>
  <c r="I19" i="1"/>
  <c r="H19" i="1"/>
  <c r="H21" i="1"/>
  <c r="H16" i="1" l="1"/>
  <c r="H15" i="1" s="1"/>
  <c r="H18" i="1"/>
  <c r="E18" i="1"/>
  <c r="E16" i="1"/>
  <c r="E15" i="1" s="1"/>
  <c r="J16" i="1"/>
  <c r="J15" i="1" s="1"/>
  <c r="J18" i="1"/>
  <c r="I16" i="1"/>
  <c r="I15" i="1" s="1"/>
  <c r="I18" i="1"/>
</calcChain>
</file>

<file path=xl/sharedStrings.xml><?xml version="1.0" encoding="utf-8"?>
<sst xmlns="http://schemas.openxmlformats.org/spreadsheetml/2006/main" count="1412" uniqueCount="484">
  <si>
    <t xml:space="preserve">Приложение №1 </t>
  </si>
  <si>
    <t>к постановлению администрации</t>
  </si>
  <si>
    <t>МО "Ахтубинский район"</t>
  </si>
  <si>
    <t>от __________ №_______</t>
  </si>
  <si>
    <t>Приложение № 2</t>
  </si>
  <si>
    <t xml:space="preserve"> к муниципальной программе</t>
  </si>
  <si>
    <t>ПЕРЕЧЕНЬ МЕРОПРИЯТИЙ(НАПРАВЛЕНИЙ) МУНИЦИПАЛЬНОЙ ПРОГРАММЫ</t>
  </si>
  <si>
    <t>Цель, задачи, наименование мероприятий</t>
  </si>
  <si>
    <t>Сроки</t>
  </si>
  <si>
    <t>Исполнители</t>
  </si>
  <si>
    <t>Источники финансирования</t>
  </si>
  <si>
    <t>Объемы финансирования</t>
  </si>
  <si>
    <t>Показатели результативности выполнения программы</t>
  </si>
  <si>
    <t>Всего</t>
  </si>
  <si>
    <t>2016 г.</t>
  </si>
  <si>
    <t>2017 г.</t>
  </si>
  <si>
    <t xml:space="preserve"> 2018 г.</t>
  </si>
  <si>
    <t>2019 г.</t>
  </si>
  <si>
    <t>2020 г</t>
  </si>
  <si>
    <t>Наименование показателей непосредственного (для мероприятий) и конечного (для целей и задач) результатов</t>
  </si>
  <si>
    <t>ед. измерения</t>
  </si>
  <si>
    <t>значение показателя за предшествующий период</t>
  </si>
  <si>
    <t xml:space="preserve"> 2019 г.</t>
  </si>
  <si>
    <t xml:space="preserve"> 2020 г.</t>
  </si>
  <si>
    <t xml:space="preserve">.Муниципальная программа «Развитие системы образования в МО «Ахтубинский район» на 2016 – 2020 годы» </t>
  </si>
  <si>
    <t>2016-2020</t>
  </si>
  <si>
    <t>Управление образованием администрации МО "Ахтубинский район", муниципальные образовательные учреждения</t>
  </si>
  <si>
    <t>ИТОГО</t>
  </si>
  <si>
    <t>Бюджет МО "Ахтубинский район"</t>
  </si>
  <si>
    <t>Бюджет Астраханской области</t>
  </si>
  <si>
    <t>Цель1. Повышение степени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гражданина, в том числе путем создания условий для проведения на территории Ахтубинского района единой государственной образовательной политики</t>
  </si>
  <si>
    <t>итого</t>
  </si>
  <si>
    <t xml:space="preserve">Показатель 1. Удельный вес численности обучающихся в муниципальных образовательных организациях, которым предоставлена возможность обучаться в соответствии с основными современными требованиями, в общей численности обучающихся. </t>
  </si>
  <si>
    <t>%</t>
  </si>
  <si>
    <t xml:space="preserve">Задача 1.1.     Выравнивание возможностей получения гражданами качественных образовательных услуг независимо от места проживания и физического состояния здоровья.
   Задача 1.2.  Повышение степени управляемости системы образования путем совершенствования механизмов системы оценки качества образования и обеспечения информационной открытости системы образования.
   Задача 1.3.  Повышение эффективности выработанной государственной политики в сфере образования МО "Ахтубинский район"
</t>
  </si>
  <si>
    <t xml:space="preserve">Показатель 1.1. Количество граждан, удовлетворенных качеством получаемых образовательных услуг  </t>
  </si>
  <si>
    <t xml:space="preserve">чел. </t>
  </si>
  <si>
    <t>Показатель 1..2. Доля образовательных учреждений, сведения о деятельности и результатах которых регулярно обновляются в созданной базе данных, позволяющей оперативно принимать управленческие решения</t>
  </si>
  <si>
    <t xml:space="preserve"> Показатель 1.3.  Количество образовательных учреждений, отвечающих современным условиям по осуществлению образовательного процесса</t>
  </si>
  <si>
    <t>ед.</t>
  </si>
  <si>
    <t>Подпрограмма 1 "Развитие дошкольного образовнаия "</t>
  </si>
  <si>
    <t>Цель 1.  Реализация муниципальной услуги по предоставлению дошкольного образования, присмотра и ухода</t>
  </si>
  <si>
    <t>Показатель непосредственного результата 1. Доля потребителей услуг дошкольного образования, обеспеченных должной доступностью к образовательным услугам заданного качества в условиях, соответствующих современным требованиям</t>
  </si>
  <si>
    <t>Задача 1.1.  Повышение доступности  и качества  реализации образовательных программ  дошкольного образования, присмотра и  ухода в учреждениях дошкольного образования  в соответствии с современными требованиями.</t>
  </si>
  <si>
    <t>Показатель конечного результата 1.1.  Доля детей в возрасте от 1 года  до 6 лет, получающих услугу дошкольного образования от общей численности детей  в возрасте от 1 года до 6 лет</t>
  </si>
  <si>
    <t>Основное мероприятие 1.1.1.  Предоставление дошкольного образования и присмотра и ухода.</t>
  </si>
  <si>
    <t xml:space="preserve">Показатель 1.1.1.   Количество детей в возрасте от 1 года  до 6 лет, получающих услугу дошкольного образования </t>
  </si>
  <si>
    <t>чел.</t>
  </si>
  <si>
    <t>Основное мероприятие 1.1.2. Предоставление компенсации части родительской платы за присмотр и уход за детьми, посещающими образовательнык организации, реализующие образовательную программу дошкольного образования.</t>
  </si>
  <si>
    <t>Показатель 1.1.2.  Количество  граждан, воспользовавшихся правом на получение компенсациичасти родительской платы.</t>
  </si>
  <si>
    <t>Задача 1.2.   Создание условий для обеспечения доступного и качественного дошкольного образования на территории МО «Ахтубинского района»</t>
  </si>
  <si>
    <t>Бюджет МО"Ахтубинский район"</t>
  </si>
  <si>
    <t>Показатель конечного результата 1.2. Количество   учреждений дошкольного образования, в которых созданы условия для осуществления образовательной деятельности</t>
  </si>
  <si>
    <t>Основное мероприятие 1.2.1.  Лицензирование   образовательной деятельности</t>
  </si>
  <si>
    <t xml:space="preserve">Показатель 1.2.1.  Количество   учреждений дошкольного образования имеющих лицензию на осуществление образовательной деятельности </t>
  </si>
  <si>
    <t>Основное мероприятие 1.2.2.   Ресурсное сопровождение развития системы дошкольного  образования детей</t>
  </si>
  <si>
    <t>Показатель 1.2.2. Количество образовательных учреждений, готовых к оказанию услуги образовательной деятельности</t>
  </si>
  <si>
    <t>Цель 2.   Обеспечение дошкольного образования, присмотра и ухода через финансирование мероприятий на иные цели.</t>
  </si>
  <si>
    <t>Показатель 2. Количество  учреждений дошкольного образования, выполнивших запланированные мероприятия</t>
  </si>
  <si>
    <t xml:space="preserve">Задача 2.1. Создание условий для устойчивого функционирование зданий, сооружений, инженерных коммуникаций, ограждений и территории   учреждений дошкольного образования. </t>
  </si>
  <si>
    <t xml:space="preserve">Показатель конечного результата 2.1. Доля  учреждений дошкольного образования, выполнивших   запланированные мероприятия по проведению ремонта зданий, сооружений, инженерных коммуникаций, ограждений и территории </t>
  </si>
  <si>
    <t>Основное мероприятие 2.1.1.  Проведение  реконструкции, капитального, текущего  ремонта зданий и сооружений</t>
  </si>
  <si>
    <t>Показатель 2.1.1. Количество,  выполненных мероприятий</t>
  </si>
  <si>
    <t>шт.</t>
  </si>
  <si>
    <t>Основное мероприятие 2.1.2.  Устранение аварий</t>
  </si>
  <si>
    <t>Показатель 2.1.2.  Количество мероприятий, направленных на устранение аварий</t>
  </si>
  <si>
    <t>Основное мероприятие 2.1.3.  Проведение технического надзора за строительными работами</t>
  </si>
  <si>
    <t>Показатель 2.1.3. Количество     учреждений дошкольного образования,  выполнивших запланированные мероприятия</t>
  </si>
  <si>
    <t>Основное мероприятие 2.1.4.  Ремонт фасадов</t>
  </si>
  <si>
    <t>Показатель 2.1.4. Количество    учреждений дошкольного образования,  выполнивших ремонт фасадов</t>
  </si>
  <si>
    <t>Основное мероприятие 2.1.5.  Благоустройство территорий и ограждений</t>
  </si>
  <si>
    <t>Показатель 2.1.5. Количество   выполненных мероприятий по благоустройству территорий и ограждений</t>
  </si>
  <si>
    <t>Основное мероприятие 2.1.6.  Разработка проектно-сметной документации, технических и кадастровых паспортов</t>
  </si>
  <si>
    <t>Показатель 2.1.6. Количество    разработанной проектно-сметной документации, технических и кадастровых паспортов</t>
  </si>
  <si>
    <t>Основное мероприятие 2.1.7.  Замена оконных и дверных блоков, установка распашных решеток на окнах</t>
  </si>
  <si>
    <t>Показатель 2.1.7. Количество  учреждений дошкольного образования,  выполнивших запланированные мероприятия</t>
  </si>
  <si>
    <t>Основное мероприятие 2.1.8.  Строительство дошкольного образовательного учреждения (детский сад, заречная часть города Ахтубинска)</t>
  </si>
  <si>
    <t>Показатель 2.1.8. Количкство построенных   учреждений дошкольного образования.</t>
  </si>
  <si>
    <t>Задача 2.2.  Развитие материально-технической базы   в учреждениях  дошкольного образования.</t>
  </si>
  <si>
    <t xml:space="preserve">Показатель конечного результата 2.2.  Доля  учреждений дошкольного образования, выполнивших запланированные мероприятия по оснащению материально-технической базы </t>
  </si>
  <si>
    <t>Основное мероприятие 2.2.1.   Приобретение и установка мебели , оборудования</t>
  </si>
  <si>
    <t xml:space="preserve">Показатель 2.2.1.  Количество   учреждений дошкольного образования,  выполнивших запланированные мероприятия  </t>
  </si>
  <si>
    <t>Основное мероприятие 2.2.2.   Приобретение мягкого инвентаря</t>
  </si>
  <si>
    <t>Показатель  2.2.2. Количество                                                                                                                                                                                                                                                                                                                                                                                                                                                                                                                                                                                                                                                                                                                                                                                                                                                                                                                                                                                                                                                                                                                                                                                                                                                                                                                                                                                                                                                                                                                                                                                                                                                                                                                                                                                                                                                                                                                                           учреждений дошкольного образования,  выполнивших  мероприятия по приобретению мягкого инвентаря</t>
  </si>
  <si>
    <t>Основное мероприятие 2.2.3.   Приобретение кухонного и хозяйственного инвентаря</t>
  </si>
  <si>
    <t>Показатель   2.2.3. Количесвто   учреждений дошкольного образования,  выполнивших запланированные мероприятия</t>
  </si>
  <si>
    <t>Основное мероприятие 2.2.4.   Приобретение  учебно-развивающих и методических  пособий, игрушек</t>
  </si>
  <si>
    <t>Показатель  2.2.4. Количество   учреждений дошкольного образования,  выполнивших запланированные мероприятия</t>
  </si>
  <si>
    <t>Задача 2.3.   Реализация основных направлений государственной политики в области охраны труда и безопасности   в учреждениях дошкольного образования.</t>
  </si>
  <si>
    <t xml:space="preserve">Показатель конечного результата 2.3.  Количество  учреждений дошкольного образования, обеспечивающих соблюдение требований по охране труда и техники безопасности </t>
  </si>
  <si>
    <t>Ед.</t>
  </si>
  <si>
    <t>Основное мероприятие 2.3.1.    Обучение и проверка знаний по охране труда сотрудников образовательных учреждений</t>
  </si>
  <si>
    <t>Показатель 2.3.1. Количество работников  дошкольного образования,  прошедших обучение</t>
  </si>
  <si>
    <t xml:space="preserve">Основное мероприятие 2.3.2.    Медицинский осмотр сотрудников учреждений дошкольного образования.  </t>
  </si>
  <si>
    <t>Показатель 2.3.2.  Количество  сотрудников     учреждений дошкольного образования,  прошедших медицинские осмотры</t>
  </si>
  <si>
    <t xml:space="preserve">Основное мероприятие 2.3.3.   Специальная оценка условий труда в  учреждениях дошкольного образования. </t>
  </si>
  <si>
    <t>Показатель 2.3.3.  Количество рабочих мест   учреждений дошкольного образования,  прошедших специальную оценку условий труда</t>
  </si>
  <si>
    <t>Основное мероприятие 2.3.4.    Приобретение  спецодежды, аптечек,   средств  индивидуальной защиты  и т.д.</t>
  </si>
  <si>
    <t>Показатель 2.3.4. Количество     учреждений дошкольного образования,  выполнивших запланированные мероприятия по приобретению спецодежды, аптечек, средств индивидуальной защиты и т.д.</t>
  </si>
  <si>
    <t>Задача 2.4.    Обеспечение пожарной безопасности  учреждений дошкольного образования.</t>
  </si>
  <si>
    <t xml:space="preserve">Показатель конечного результата  2.4. Количество    учреждений дошкольного образования, обеспечивающих соблюдение требований противопожарной безопасности </t>
  </si>
  <si>
    <t>Основное мероприятие 2.4.1.     Приобретение огнетушителей, пожарных рукавов, пожарных щитов</t>
  </si>
  <si>
    <t>Показатель 2.4.1.  Количество     учреждений дошкольного образования,  выполнивших  мероприятия по приобретению огнетушителей, пожарных рукавов, пожарных щитов</t>
  </si>
  <si>
    <t>Основное мероприятие 2.4.2.     Перезарядка огнетушителей</t>
  </si>
  <si>
    <t>Показатель 2.4.2. Количество   учреждений дошкольного образования,  выполнивших  мероприятия по перезарядке огнетушителей</t>
  </si>
  <si>
    <t>Основное мероприятие 2.4.3.     Замеры сопротивления изоляции электросети</t>
  </si>
  <si>
    <t>Показатель 2.4.3.  Количество     учреждений дошкольного образования,  выполнивших запланированные мероприятия по замерам сопротивления изоляции электросети</t>
  </si>
  <si>
    <t>Основное мероприятие 2.4.4.     Ремонт и обустройство эвакуационных выходов</t>
  </si>
  <si>
    <t>Показатель 2.4.4.. Количество    учреждений дошкольного образования,  выполнивших запланированные мероприятия</t>
  </si>
  <si>
    <t>Основное мероприятие 2.4.5.     Ремонт пожарных кранов (противопожарного водоснабжения)</t>
  </si>
  <si>
    <t>Показатель 2.4.5.  Количество    учреждений дошкольного образования,  выполнивших  мероприятия по ремонту пожарных кранов</t>
  </si>
  <si>
    <t>Основное мероприятие 2.4.6.     Ремонт пожарных гидрантов</t>
  </si>
  <si>
    <t>Показатель 2.4.6.  Количество     учреждений дошкольного образования,  выполнивших  мероприятия по ремонту пожарных гидрантов</t>
  </si>
  <si>
    <t xml:space="preserve">Основное мероприятие 2.4.7. Пропитка (обработка) огнезащитным составом деревянных конструкций    </t>
  </si>
  <si>
    <t>Показатель 2.4.7. Количество   учреждений дошкольного образования,  выполнивших  мероприятия по пропитке (обработке) огнезащитным составом деревянных конструкций</t>
  </si>
  <si>
    <t>ед</t>
  </si>
  <si>
    <t>Основное мероприятие 2.4.8.     Техническое обслуживание и проведение ремонта автоматической пожарной сигнализации</t>
  </si>
  <si>
    <t>Показатель 2.4.8.  Количество   учреждений дошкольного образования, в которых выполнены  мероприятия по техническому обслуживанию и ремонту автоматической пожарной сигнализации</t>
  </si>
  <si>
    <t>Основное мероприятие 2.4.9.     Изготовление люминесцентных планов эвакуации</t>
  </si>
  <si>
    <t>Показатель 2.4.9. Количество   учреждений дошкольного образования,  выполнивших запланированные  мероприятия</t>
  </si>
  <si>
    <t>Основное мероприятие 2.4.10.     Обучение работников мерам пожарной безопасности</t>
  </si>
  <si>
    <t>Показатель 2.4.10. Количество сотрудников     учреждений дошкольного образования,  прошедших обучение</t>
  </si>
  <si>
    <t>Задача 2.5     Повышение энергоэффективности зданий  учреждений дошкольного образования.</t>
  </si>
  <si>
    <t xml:space="preserve">Показатель конечного результата  2.5. Доля  учреждений дошкольного образования, выполнивших запланированные энергосберегающие мероприятия </t>
  </si>
  <si>
    <t xml:space="preserve">Основное мероприятие 2.5.1.    Промывка и опрессовка систем отопления  </t>
  </si>
  <si>
    <t>Показатель 2.5.1. Количество   учреждений дошкольного образования,  выполнивших  мероприятия по промывке и опрессовке систем отопления</t>
  </si>
  <si>
    <t>Основное мероприятие 2.5.2.      Проектирование и строительство газовых котельных</t>
  </si>
  <si>
    <t>Показатель 2.5.2. Количество     учреждений дошкольного образования,  выполнивших запланированные мероприятия</t>
  </si>
  <si>
    <t>Основное мероприятие 2.5.2.      Ремонт теплотрассы</t>
  </si>
  <si>
    <t>Показатель 2.5.2. Количество  учреждений дошкольного образования,  выполнивших  мероприятия по ремонту теплотрассы.</t>
  </si>
  <si>
    <t>Задача 2.6      Формирование доступной среды в  учреждениях дошкольного образования.</t>
  </si>
  <si>
    <t>Показатель конечного результата  2.6. Доля   учреждений дошкольного образования, выполнивших запланированные  мероприятия по обеспечению доступности  для маломобильных граждан</t>
  </si>
  <si>
    <t>Основное мероприятие 2.6.1.     Выполнение мероприятий по обеспечению в   учреждениях  дошкольного образования доступной среды для маломобильных граждан</t>
  </si>
  <si>
    <t>Показатель 2.6.1. Количество учреждений дошкольного образования,  выполнивших мероприятия по обеспчению доступной среды для маломобильных граждан.</t>
  </si>
  <si>
    <t xml:space="preserve">Задача 2.7   Обеспечение мероприятий по использованию информационно-коммуникативных технологий, создание, развитие, модернизация и эксплуатация информационных систем.   </t>
  </si>
  <si>
    <t xml:space="preserve">Показатель конечного результата  2.7. Количество  учреждений дошкольного образования, использующих информационно-коммуникативные технологии </t>
  </si>
  <si>
    <t xml:space="preserve">Основное мероприятие 2.7.1.  Обслуживание программы 1С-бухгалтерия, 1С-заработная плата.    </t>
  </si>
  <si>
    <t>Показатель 2.7.1. Количество   учреждений дошкольного образования,  выполнивших запланированные мероприятия</t>
  </si>
  <si>
    <t xml:space="preserve">Основное мероприятие 2.7.2.     Приобретение лицензионного программного обеспечения </t>
  </si>
  <si>
    <t>Показатель 2.7.2. Количество     учреждений дошкольного образования,  выполнивших мероприятия по приобретению лицензионного программного обеспечения</t>
  </si>
  <si>
    <t>Основное мероприятие 2.7.3.      Приобретение оборудования (ПК, ноутбук, мультимедиа, акустические системы, веб-камеры, принтеры и ксероксы, и другие комплектующие)</t>
  </si>
  <si>
    <t>Показатель 2.7.3. Количество    учреждений дошкольного образования,  выполнивших  мероприятия по приобретению указанного оборудования</t>
  </si>
  <si>
    <t>Основное мероприятие 2.7.4.      Приобретение и заправка картриджей</t>
  </si>
  <si>
    <t>Показатель 2.7.4. Количество   учреждений дошкольного образования,  выполнивших  мероприятия по приобретению и заправке картриджей</t>
  </si>
  <si>
    <t xml:space="preserve">Основное мероприятие 2.7.5.      Обслуживание программы «АИС Комплектование ДОУ» (электронная очередь). </t>
  </si>
  <si>
    <t>Показатель 2.7.5. Количество  учреждений дошкольного образования,  в которых выполнено обслуживание программы "АИС Комплектование ДОУ"</t>
  </si>
  <si>
    <t xml:space="preserve">Подпрограмма 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общего образования» </t>
  </si>
  <si>
    <t>Цель 1: Реализация  муниципальной услуги по предоставлению начального общего, основного общего, среднего общего  образования, дошкольного образования и присмотра и ухода (дошкольные группы в школах).</t>
  </si>
  <si>
    <t>Показатель непосредственного результата 1. Доля потребителей услуг общего образования, обеспеченных должной доступностью к образовательным услугам заданного качества в условиях, соответствующих современным требованиям</t>
  </si>
  <si>
    <t>Задача 1.1. Повышение качества  начального, основного, среднего общего  образования, дошкольного образования и присмотра и ухода  в соответствии с современными требованиями.</t>
  </si>
  <si>
    <t>Показатель непосредственного результата 1.1. Доля потребителей услуг общего образования, обеспеченных должной доступностью к образовательным услугам заданного качества</t>
  </si>
  <si>
    <t>Основное мероприятие 1.1.1. Предоставление начального, основного, среднего общего  образования, дошкольного образования и присмотра и ухода.</t>
  </si>
  <si>
    <t>Управлениеие образованием, образовательные учреждения</t>
  </si>
  <si>
    <t>Показатель 1.1.1. Количество потребителей услуг общего образования, обеспеченных должной доступностью к образовательным услугам заданного качества.</t>
  </si>
  <si>
    <t>Задача 1.2.  Создание   условий для обеспечения доступного и качественного образования на территории МО «Ахтубинский район».</t>
  </si>
  <si>
    <t xml:space="preserve">Показатель непосредственного результата 1.2. Количество бразовательных учреждений, в которых созданы условия для осуществления образовательной деятельности. </t>
  </si>
  <si>
    <t>Основное мероприятие 1.2.1. Лицензирование образовательной деятельности</t>
  </si>
  <si>
    <t>Показатель 1.2.1. Количество    общеобразовательных учреждений, имеющих лицензию на осуществление образовательной деятельности.</t>
  </si>
  <si>
    <t>Основное мероприятие 1.2.2. Аккредитация образовательной деятельности</t>
  </si>
  <si>
    <t xml:space="preserve">Показатель 1.2.2.  Количество общеобразовательных   учреждений,  прошедших аккредитацию в установленные сроки </t>
  </si>
  <si>
    <t>Основное мероприятие 1.2.3. Ресурсное сопровождение развития системы общего  образования детей</t>
  </si>
  <si>
    <t>Показатель 1.2.3. Количество общеобразовательных учреждений, в которых созданы условия для осуществления образовательной деятельности.</t>
  </si>
  <si>
    <t>Цель 2: Обеспечение дошкольного образования, начального общего, основного общего, среднего общего  образования через финансирование мероприятий на иные цели.</t>
  </si>
  <si>
    <t>Показатель 2. Количество общеобразовательных учреждений, выполнивших запланированные мероприятия</t>
  </si>
  <si>
    <t>Задача 2.1. Создание условий для устойчивого функционирования зданий, сооружений, инженерных коммуникаций, ограждений и территории общеобразовательных учреждений</t>
  </si>
  <si>
    <t xml:space="preserve">Показатель непосредственного результата 2.1. Количество общеобразовательных учреждений, выполнивших мероприятия по проведению ремонта зданий, сооружений, инженерных коммуникаций, ограждений и территории </t>
  </si>
  <si>
    <t>Основное мероприятие 2.1.1. Проведение реконструкции, капитального, текущего ремонта зданий и сооружений</t>
  </si>
  <si>
    <t>Показатель непосредственного результата 2.1.1.  Количество образовательных учреждений, выпонивших мероприятия по реконструкции, капитальному, текущему ремонту зданий и сооружений.</t>
  </si>
  <si>
    <t>Основное мероприятие 2.1.2. Устранение аварий</t>
  </si>
  <si>
    <t>Показатель непосредственного результата 2.1.2.  Количество выполнения мероприятий, направленных на устранение  аварий</t>
  </si>
  <si>
    <t>Основное мероприятие 2.1.3. Проведение технического надзора за строительными работами</t>
  </si>
  <si>
    <t>Показатель непосредственного результата 2.1.3. Количество образовательных учреждений, выполнивших  мероприятия по проведению технического надзора за строительными работами</t>
  </si>
  <si>
    <t>Основное мероприятие 2.1.4. Ремонт фасадов</t>
  </si>
  <si>
    <t>Показатель непосредственного результата 2.1.4. Количество образовательных учреждений, выполнивших мероприятия по ремонту фасадов</t>
  </si>
  <si>
    <t>Основное мероприятие 2.1.5. Благоустройство территорий и ограждений</t>
  </si>
  <si>
    <t>Показатель 2.1.5. Количество образовательных учреждений, выполнивших мероприятия по благоустройству территорий и ограждений</t>
  </si>
  <si>
    <t>Основное мероприятие 2.1.6. Разработка проектно-сметной документации, технических и кадастровых паспортов</t>
  </si>
  <si>
    <t>Основное мероприятие 2.1.7. Замена оконных и дверных блоков, установка распашных решеток на окнах</t>
  </si>
  <si>
    <t>Показатель 2.1.7. Количество образовательных учреждений, выполнивших мероприятия по замене оконных и дверных блоков, по установке распашных решеток на окнах</t>
  </si>
  <si>
    <t xml:space="preserve">Задача 2.2.  Развитие материально-технической базы общеобразовательных  учреждений.
</t>
  </si>
  <si>
    <t xml:space="preserve">Показатель  2.2. Доля общеобразовательных учреждений, выполнивших мероприятия по оснащению материально-технической базы </t>
  </si>
  <si>
    <t>Показатель  2.2.1. Количество образовательных учреждений, выполнивших мероприятия по приобретению и установке мебели и оборудования</t>
  </si>
  <si>
    <t>Основное мероприятие 2.2.2. Приобретение мягкого инвентаря</t>
  </si>
  <si>
    <t>Показатель  2.2.2. Количество образовательных учреждений, выполнивших мероприятия по приобретению мягкого инвентаря</t>
  </si>
  <si>
    <t>Основное мероприятие 2.2.3. Приобретение кухонного и хозяйственного инвентаря</t>
  </si>
  <si>
    <t>Показатель 2.2.3. Количество образовательных учреждений, выполнивших мероприятия по приобретению кухонного и хозяйственного инвентаря</t>
  </si>
  <si>
    <t>Основное мероприятие 2.2.4. Приобретение оргтехники, музыкальных инструментов</t>
  </si>
  <si>
    <t>Показатель  2.2.4. Количество образовательных учреждений, выполнивших мероприятия по приобретению оргтехники, музыкальных инструментов.</t>
  </si>
  <si>
    <t>Основное мероприятие 2.2.5. Пополнение библиотечного фонда.</t>
  </si>
  <si>
    <t>Показатель непосредственного результата 2.2.5. Количество образовательных учреждений, пополнивших библиотечный фонд</t>
  </si>
  <si>
    <t>Основное мероприятие 2.2.6. Укрепление материально- технической базы школьных столовых для организации питания.</t>
  </si>
  <si>
    <t>Показатель непосредственного результата 2.2.6. Количество образовательных учреждений, выполнивших мероприятия по укреплению материально-технической базы школьных столовых</t>
  </si>
  <si>
    <t xml:space="preserve">Задача 2.3. Обеспечение высокого качества и безопасности питания детей в общеобразовательных учреждениях района, в том числе улучшение рациона школьного питания, расширение ассортимента продуктов питания.    </t>
  </si>
  <si>
    <t>Показатель непосредственного результата 2.3. Количество общеобразовательных учреждений, в которых созданы условия для организации питания школьников.</t>
  </si>
  <si>
    <t xml:space="preserve">Основное мероприятие 2.3.1. Организация ежедневного горячего питания для обучающихся начальных классов </t>
  </si>
  <si>
    <t>Показатель непосредственного результата 2.3.1. Количество образовательных учреждений, организовавших ежедневное горяче питание для обучающихся начальных классов</t>
  </si>
  <si>
    <t xml:space="preserve">Основное мероприятие 2.3.2. Организация ежедневного горячего питания для обучающихся 5-11 классов из малообеспеченных семей </t>
  </si>
  <si>
    <t>Показатель непосредственного результата 2.3.2. Количество образовательных учреждений,  организовавших горячее питание для обучающихся  5-11 классов из малообеспеченных семей.</t>
  </si>
  <si>
    <t xml:space="preserve">Основное мероприятие 2.3.3. Организация ежедневного горячего питания для обучающихся ресурсных центров </t>
  </si>
  <si>
    <t>Показатель непосредственного результата 2.3.3. Количество образовательных учреждений, организовавших горячее питание для обучающихся ресурсных центров</t>
  </si>
  <si>
    <t>Задача 2.4. Реализация основных направлений государственной политики в области охраны труда и безопасности в общеобразовательных учреждениях.</t>
  </si>
  <si>
    <t xml:space="preserve">Показатель непосредственного результата 2.4. Количество общеобразовательных учреждений, обеспечивающих соблюдение требований по охране труда и техники безопасности </t>
  </si>
  <si>
    <t>Основное мероприятие 2.4.1. Обучение и проверка знаний по охране труда сотрудников образовательных учреждений</t>
  </si>
  <si>
    <t>Показатель непосредственного результата 2.4.1. Количество сотрудников  образовательных учреждений, прошедших обучение и проверку знаний по охране труда.</t>
  </si>
  <si>
    <t xml:space="preserve">Основное мероприятие 2.4.2. Медицинский осмотр сотрудников. </t>
  </si>
  <si>
    <t>Показатель непосредственного результата 2.4.2. Количество сотрудников  образовательных учреждений, прошедших медицинский осмотр</t>
  </si>
  <si>
    <t>Основное мероприятие 2.4.3. Специальная оценка условий труда.</t>
  </si>
  <si>
    <t>Показатель 2.4.3. Количество рабочих мест  образовательных учреждений, прошедших  специальную  оценку условий труда.</t>
  </si>
  <si>
    <t>Основное мероприятие 2.4.4. Приобретение  спецодежды, аптечек, средств индивидуальной защиты  и т.д.</t>
  </si>
  <si>
    <t>Показатель непосредственного результата 2.4.4. Количество образовательных учреждений, выполнивших  мероприятия по приобретению спецодежды, аптечек, средств индивидуальной защиты и т.д.</t>
  </si>
  <si>
    <t>Основное мероприяти 2.4.5. Приобретение и обслуживание ГЛОНАСС</t>
  </si>
  <si>
    <t>Показатель непосредственного результата 2.4.5. Количество образовательных учреждений, выполнивших мероприятия по приобретению и обслуживанию системы  ГЛОНАСС</t>
  </si>
  <si>
    <t>Задача 2.5. Обеспечение пожарной безопасности общеобразовательных учреждений.</t>
  </si>
  <si>
    <t xml:space="preserve">Показатель непосредственного результата 2.5. Количество   учреждений, обеспечивающих соблюдение требований противопожарной безопасности </t>
  </si>
  <si>
    <t>Основное мероприятие 2.5.1. Приобретение огнетушителей, пожарных рукавов, пожарных щитов</t>
  </si>
  <si>
    <t>Показатель непосредственного результата 2.5.1. Количество образовательных учреждений, выполнивших  мероприятия по приобретению огнетушителей, пожарных рукавов, пожарных щитов</t>
  </si>
  <si>
    <t>Основное мероприятие 2.5.2. Перезарядка огнетушителей</t>
  </si>
  <si>
    <t>Показатель непосредственного результата 2.5.2. Количество образовательных учреждений, выполнивших  мероприятия по перезарядке огнетушителей</t>
  </si>
  <si>
    <t>Основное мероприятие 2.5.3. Замеры сопротивления изоляции электросети</t>
  </si>
  <si>
    <t>Показатель непосредственного результата 2.5.3. Количество  образовательных учреждений, выполнивших запланированные мероприятия по замерам сопротивления изоляции электросети</t>
  </si>
  <si>
    <t>Основное мероприятие 2.5.4. Ремонт и обустройство эвакуационных выходов</t>
  </si>
  <si>
    <t>Показатель непосредственного результата 2.5.4.  Количество  образовательных учреждений, выполнивших мероприятия по ремонту и обустройству эвакуационных выходов</t>
  </si>
  <si>
    <t>Основное мероприятие 2.5.5. Ремонт пожарных кранов (противопожарного водоснабжения)</t>
  </si>
  <si>
    <t>Показатель непосредственного результата 2.5.5. Количество  образовательных учреждений, выполнивших мероприятия по ремонту пожарных гидрантов</t>
  </si>
  <si>
    <t>Основное мероприятие 2.5.6. Ремонт пожарных гидрантов</t>
  </si>
  <si>
    <t>Показатель непосредственного результата 2.5.6.  Количество  образовательных учреждений, выполнивших мероприятия по ремонту пожарных гидрантов</t>
  </si>
  <si>
    <t>Основное мероприятие 2.5.7. Пропитка (обработка) огнезащитным составом деревянных конструкций</t>
  </si>
  <si>
    <t>Показатель непосредственного результата 2.5.7. Количество  образовательных учреждений, выполнивших  мероприятия по пропитке (обработке) огнезащитным составом деревянных конструкций</t>
  </si>
  <si>
    <t>Основное мероприятие 2.5.8. Техническое обслуживание и проведение ремонта автоматической пожарной сигнализации</t>
  </si>
  <si>
    <t>Показатель непосредственного результата 2.5.8. Количество  образовательных учреждений, выполнивших мероприятия по техническому обслуживанию и ремонту автоматической пожарной сигнализации</t>
  </si>
  <si>
    <t>Основное мероприятие 2.5.9. Изготовление люминесцентных планов эвакуации</t>
  </si>
  <si>
    <t xml:space="preserve">Показатель непосредственного результата 2.5.9. .Количество образовательных учреждений, выполнивших запланированные мероприятия </t>
  </si>
  <si>
    <t>Основное мероприятие 2.5.10. Обучение работников мерам пожарной безопасности</t>
  </si>
  <si>
    <t>Показатель непосредственного результата 2.5.10. Количество сотрудников     общеобразовательных учреждений ,  прошедших обучение</t>
  </si>
  <si>
    <t>Задача 2.6. Повышение энергоэффективности зданий общеобразовательных учреждений.</t>
  </si>
  <si>
    <t xml:space="preserve">Показатель непосредственного результата 2.6. Доля      общеобразовательных учреждений,  выполнивших запланированные энергосберегающие мероприятия </t>
  </si>
  <si>
    <t>Основное мероприятие 2.6.1. Промывка и опрессовка систем отопления</t>
  </si>
  <si>
    <t>Показатель непосредственного результата 2.6.1. Доля образовательных учреждений, выполнивших  мероприятия по промывке и опрессовке  систем отопления</t>
  </si>
  <si>
    <t>Основное мероприятие 2.6.2. Проектирование и строительство газовых котельных</t>
  </si>
  <si>
    <t>Показатель непосредственного результата 2.6.2. Количество  образовательных учреждений, выполнивших запланированные мероприятия</t>
  </si>
  <si>
    <t>Основное мероприятие 2.6.2. Ремонт теплотрассы</t>
  </si>
  <si>
    <t>Показатель непосредственного результата 2.6.2.Количество образовательных учреждений, выполнивших мероприятия по ремонту теплотрассы</t>
  </si>
  <si>
    <t>Основное мероприятие 2.6.3. Дооборудование котельных установок</t>
  </si>
  <si>
    <t xml:space="preserve">Показатель непосредственного результата 2.6.3.Количество образовательных учреждений, выполнивших запланированные мероприятия </t>
  </si>
  <si>
    <t>Задача 2.7. Формирование доступной среды в общеобразовательных учреждениях.</t>
  </si>
  <si>
    <t xml:space="preserve">Показатель непосредственного результата 2.7. Доля общеобразовательных учреждений, выполнивших мероприятия по обеспечению доступности  для маломобильных граждан </t>
  </si>
  <si>
    <t>Основное мероприятие 2.7.1. Выполнение мероприятий по обеспечению в образовательных учреждениях доступной среды для маломобильных граждан</t>
  </si>
  <si>
    <t xml:space="preserve">Показатель непосредственного результата 2.7.1. Количество  образовательных учреждений, выполнивших мероприятия  по обеспечению доступной среды </t>
  </si>
  <si>
    <t>Задача 2.8. Обеспечение мероприятий по использованию информационно-коммуникативных технологий, создание, развитие, модернизация и эксплуатация информационных систем.</t>
  </si>
  <si>
    <t xml:space="preserve">Показатель непосредственного результата 2.8. Количество образовательных учреждений, использующих информационно-коммуникативные технологии </t>
  </si>
  <si>
    <t>Основное мероприятие 2.8.1. Обслуживание программы 1С-бухгалтерия, 1С-заработная плата.</t>
  </si>
  <si>
    <t>Показатель непосредственного результата 2.8.1. Количество  образовательных учреждений, выполнивших мероприятия по обслуживанию программы 1С-бухгалтерия, 1С-заработная плата</t>
  </si>
  <si>
    <t>Основное мероприятие 2.8.2. Приобретение лицензионного программного обеспечения</t>
  </si>
  <si>
    <t>Показатель непосредственного результата 2.8.2. Количество образовательных учреждений, выполнивших мероприятия по приобретению лицензионного программного обеспечения</t>
  </si>
  <si>
    <t>Основное мероприятие 2.8.3. Приобретение оборудования (ПК, ноутбук, мультимедиа, акустические системы, веб-камеры, принтеры и ксероксы, и другие комплектующие)</t>
  </si>
  <si>
    <t>Показатель непосредственного результата 2.8.3. Количество  образовательных учреждений, выполнивших мероприятия по приобретению указанного оборудования</t>
  </si>
  <si>
    <t>Основное мероприятие 2.8.4. Приобретение и заправка картриджей</t>
  </si>
  <si>
    <t>Показатель непосредственного результата 2.8.4.  Количество образовательных учреждений, выполнивших мероприятия по приобретению и заправке картриджей</t>
  </si>
  <si>
    <t>Основное мероприятие 2.8.5. Обслуживание программы  "АИС  Комплектование ДОУ" (электронная очередь)</t>
  </si>
  <si>
    <t>Показатель непосредственного результата 2.8.5. Количество образовательных учреждений, в которых выполнено обслуживание программы "АИС Комплектование ДОУ"</t>
  </si>
  <si>
    <t xml:space="preserve">Основное мероприятие 2.8.6. Приобретение и обслуживание  программы  "АИС  Зачисление в образовательные организации" </t>
  </si>
  <si>
    <t xml:space="preserve">Показатель непосредственного результата 2.8.6. Количество образовательных учреждений, выполнивших мероприятия по приобретению и обслуживанию программы "АИС Зачисление в образовательные организации" </t>
  </si>
  <si>
    <t>Основное мероприятие 2.8.7. Переподготовка специалистов по новым программам ведения бухгалтерского учета</t>
  </si>
  <si>
    <t xml:space="preserve">Показатель непосредственного результата 2.8.7. Количество специалистов,прошедших переподготовку по новым программам ведения бухгалтерского учета </t>
  </si>
  <si>
    <t xml:space="preserve">Задача 2.9. Создание условий для развития и сохранения сети общеобразовательных учреждений,  занимающихся организацией отдыха, оздоровления и занятости детей и подростков.  </t>
  </si>
  <si>
    <t>Показатель непосредственного результата 2.9. Количество образовательных учреждений, занимающихся организацией отдыха , оздоровления и занятости детей</t>
  </si>
  <si>
    <t>Основное мероприятие 2.9.1. Организация работы лагерей с дневным пребыванием детей на базе общеобразовательных учреждений</t>
  </si>
  <si>
    <t>Показатель непосредственного результата 2.9.1. Количество образовательных учреждений, выполнивших запланированные мероприятия</t>
  </si>
  <si>
    <t>Основное мероприятие 2.9.1. Организация работы палаточного лагеря «Мечта»</t>
  </si>
  <si>
    <t>Показатель непосредственного результата 2.9.2. Количество   детей, отдохнувших в палаточном лагере</t>
  </si>
  <si>
    <t>Основное мероприятие 2.9.2. Приобретение инвентаря для  отрядов «Голубой патруль», «Зеленый патруль», экологических отрядов, ремонтных бригад</t>
  </si>
  <si>
    <t>Показатель непосредственного результата 2.9.3. Количество отрядов, созданных при образовательных учреждений</t>
  </si>
  <si>
    <t>Подпрограмма 3. «Развитие дополнительного образования»</t>
  </si>
  <si>
    <t>Цель 1.  Реализация  муниципальной услуги по предоставлению дополнительного образования.</t>
  </si>
  <si>
    <t>Показатель непосредственного результата 1. Доля учащихся, охваченных дополнительным образованием, в условиях, отвечающим современным требованиям</t>
  </si>
  <si>
    <t xml:space="preserve">Задача 1.1. Повышение качества  дополнительного образования в соответствии с современными требованиями.
</t>
  </si>
  <si>
    <t xml:space="preserve">Показатель непосредственного результата 1.1. Доля потребителей услуг дополнительного образования, обеспеченных должной доступностью к образовательным услугам заданного качества </t>
  </si>
  <si>
    <t>Основное мероприятие 1.1.1. Предоставление дополнительного образования.</t>
  </si>
  <si>
    <t xml:space="preserve">Показатель непосредственного результата 1.1.1. Количество учреждений дополнительного образования, обеспечивающих должную доступность к образовательным услугам заданного качества </t>
  </si>
  <si>
    <t xml:space="preserve">ед. </t>
  </si>
  <si>
    <t xml:space="preserve">Задача 1.2. Создание   условий для обеспечения доступного и качественного образования на территории МО «Ахтубинский район».
</t>
  </si>
  <si>
    <t xml:space="preserve">Показатель непосредственного результата 1.2. Количество образовательных учреждений, в которых созданы условия для осуществления образовательной деятельности. </t>
  </si>
  <si>
    <t xml:space="preserve">Показатель конечного результата 1.2.1. Количество   образовательных учреждений, имеющих лицензию на осуществление образовательной деятельности </t>
  </si>
  <si>
    <t>Основное мероприятие 1.2.2. Ресурсное сопровождение развития системы дополнительного  образования детей</t>
  </si>
  <si>
    <t>Показатель непосредственного результата 1. 2.2. Количествр общеобразовательных учреждений, в которых созданы условия для осуществления образовательной деятельности.</t>
  </si>
  <si>
    <t xml:space="preserve">Цель 2. Обеспечение дополнительного образования через финансирование мероприятий на иные цели.
</t>
  </si>
  <si>
    <t>Показатель непосредственного результата 2. Количество  учреждений дополнительного образования, выполнивших запланированные мероприятия</t>
  </si>
  <si>
    <t xml:space="preserve">Задача 2.1. Создание условий для устойчивого функционирования зданий, сооружений, инженерных коммуникаций, ограждений и территории учреждений дополнительного образования.
</t>
  </si>
  <si>
    <t xml:space="preserve">Показатель непосредственного результата 2.1. Количество  учреждений дополнительного образования, выполнивших мероприятия по проведению ремонта зданий, сооружений, инженерных коммуникаций, ограждений и территории </t>
  </si>
  <si>
    <t>Показатель непосредственного результата 2.1.1. Количество  учреждений дополнительного образования, выполнивших мероприятия по проведению реконструкции, капитальному, текущему ремонту зданий и сооружений</t>
  </si>
  <si>
    <t>ед.%</t>
  </si>
  <si>
    <t>Показатель непосредственного результата 2.1.2. Количество  устраненных аварий</t>
  </si>
  <si>
    <t>Показатель непосредственного результата 2.1.3. Количество образовательных учреждений, выполнивших мероприятия по проведению технадзора за строительными работами</t>
  </si>
  <si>
    <t>Показатель непосредственного результата 2.1.5. Количество  образовательных учреждений, выполнивших мероприятия по благоустройству территорий и ограждений</t>
  </si>
  <si>
    <t>Показатель непосредственного результата 2.1.6. Количество образовательных учреждений, выполнивших мероприятия по разработке проектно-сметной докуцментации, технических и кадастровых паспортов</t>
  </si>
  <si>
    <t>Показатель непосредственного результата  2.1.7. Количество  образовательных учреждений, выполнивших мероприятия по замене оконных и дверных блоков, по установке распашных решеток на окнах</t>
  </si>
  <si>
    <t>ел.</t>
  </si>
  <si>
    <t xml:space="preserve">Задача 2.2.  Развитие материально-технической базы  учреждений дополнительного образования.
</t>
  </si>
  <si>
    <t xml:space="preserve">Показатель непосредственного результата 2.2. Доля учреждений дополнительного образования, выполнивших мероприятия по оснащению материально-технической базы </t>
  </si>
  <si>
    <t>Показатель непосредственного результата 2.2.1. Количествообразовательных учреждений, выполнивших  мероприятия по  приобретению и установке мебели, оборудования</t>
  </si>
  <si>
    <t>Основное мероприятие 2.2.2. Приобретение мягкого инвентаря.</t>
  </si>
  <si>
    <t>Показатель непосредственного результата 2.2.2. Количество образовательных учреждений, выполнивших мероприятия по приобретению мягкого инвентаря</t>
  </si>
  <si>
    <t>Основное мероприятие 2.2.3. Приобретение учебно-развивающих пособий и игрового оборудования.</t>
  </si>
  <si>
    <t>Показатель непосредственного результата 2.2.3. Количество образовательных учреждений, выполнивших мероприятия по приобретению учебно-развивающих пособий и игрового оборудования.</t>
  </si>
  <si>
    <t>Основное мероприятие 2.2.4. Приобретение хозяйственного инвентаря.</t>
  </si>
  <si>
    <t>Показатель непосредственного результата 2.2.4. Количество  образовательных учреждений, выполнивших мероприятия по приобретению хозяйственного инвентаря</t>
  </si>
  <si>
    <t>Основное мероприятие 2.2.5. Приобретение оргтехники, музыкальных инструментов.</t>
  </si>
  <si>
    <t>Показатель непосредственного результата 2.2.5.Количество образовательных учреждений, выполнивших мероприятия по приобретению оргтехники, музыкальных инструментов</t>
  </si>
  <si>
    <t xml:space="preserve">Задача 2.3. Реализация основных направлений государственной политики в области охраны труда и безопасности в учреждениях дополнительного образования.
</t>
  </si>
  <si>
    <t xml:space="preserve">Показатель непосредственного результата 2.3. Количество учреждений дополнительного образования, обеспечивающих соблюдение требований по охране труда и техники безопасности </t>
  </si>
  <si>
    <t>Основное мероприятие 2.3.1. Обучение и проверка знаний по охране труда сотрудников образовательных учреждений</t>
  </si>
  <si>
    <t>Показатель непосредственного результата 2.3.1.  Количество сотрудников   учреждений дополнительного образования , прошедших обучение</t>
  </si>
  <si>
    <t xml:space="preserve">Основное мероприятие 2.3.2. Медицинский осмотр сотрудников. </t>
  </si>
  <si>
    <t>Показатель непосредственного результата 2.3.2. Количество сотрудников    учреждений дополнительного образования  образования,  прошедших медицинский осмотр</t>
  </si>
  <si>
    <t>Основное мероприятие 2.3.3. Специальная оценка условий труда.</t>
  </si>
  <si>
    <t>Показатель непосредственного результата 2.3.3. Количество рабочих мест    учреждений дополнительного образования  образования,  пршедших специальную оценку труда</t>
  </si>
  <si>
    <t>Основное мероприятие 2.3.4. Приобретение  спецодежды, аптечек, средств индивидуальной защиты  и т.д.</t>
  </si>
  <si>
    <t>Показатель непосредственного результата 2.3.4.  Количество  образовательных учреждений, выполнивших  мероприятия по приобретению спецодежды, аптечек, средств индивидуальной защиты и т.д.</t>
  </si>
  <si>
    <t xml:space="preserve">Задача 2.4.
Обеспечение пожарной безопасности учреждений дополнительного образования.
</t>
  </si>
  <si>
    <t xml:space="preserve">Показатель непосредственного результата 2.4. Количество   учреждений, обеспечивающих соблюдение требований противопожарной безопасности </t>
  </si>
  <si>
    <t>Основное мероприятие 2.4.1. Приобретение огнетушителей, пожарных рукавов, пожарных щитов</t>
  </si>
  <si>
    <t>Показатель непосредственного результата 2.4.1. Количество образовательных учреждений, выполнивших  мероприятия по приобретению огнетушителей, пожарных рукавов, пожарных щитов</t>
  </si>
  <si>
    <t>Основное мероприятие 2.4.2. Перезарядка огнетушителей</t>
  </si>
  <si>
    <t>Показатель непосредственного результата 2.4.2. Количество  образовательных учреждений, выполнивших мероприятия по перезарядка огнетушителей</t>
  </si>
  <si>
    <t>Основное мероприятие 2.4.3. Замеры сопротивления изоляции электросети</t>
  </si>
  <si>
    <t>Показатель непосредственного результата 2.4.3. Количество  образовательных учреждений, выполнивших мероприятия  по проведениюзамеров сопротивления изоляции электросети</t>
  </si>
  <si>
    <t>Основное мероприятие 2.4.4. Ремонт и обустройство эвакуационных выходов</t>
  </si>
  <si>
    <t>Показатель непосредственного результата 2.4.4. Количество  образовательных учреждений, выполнивших мероприятия по ремонту и обустройству эвакуационных выходов</t>
  </si>
  <si>
    <t>Основное мероприятие 2.4.5. Ремонт пожарных кранов (противопожарного водоснабжения)</t>
  </si>
  <si>
    <t>Показатель непосредственного результата 2.4.5. Количество образовательных учреждений, выполнивших мероприятия  по ремонту пожарных кранов</t>
  </si>
  <si>
    <t>Основное мероприятие 2.4.6. Ремонт пожарных гидрантов</t>
  </si>
  <si>
    <t>Показатель непосредственного результата 2.4.6. Количество  образовательных учреждений, выполнивших мероприятия по ремонту пожарных гидрантов</t>
  </si>
  <si>
    <t>Основное мероприятие 2.4.5. Пропитка (обработка) огнезащитным составом деревянных конструкций</t>
  </si>
  <si>
    <t>Показатель непосредственного результата 2.4.7. Количество образовательных учреждений, выполнивших мероприятия по пропитке (обработке) огнезащитным составом деревянных конструкций</t>
  </si>
  <si>
    <t>Основное мероприятие 2.4.6. Техническое обслуживание и проведение ремонта автоматической пожарной сигнализации</t>
  </si>
  <si>
    <t>Показатель непосредственного результата 2.4.8. Количество образовательных учреждений, выполнивших мероприятия по техническому обслуживанию и ремонту автоматической пожарной сигнализации</t>
  </si>
  <si>
    <t>Основное мероприятие 2.4.7. Изготовление люминесцентных планов эвакуации</t>
  </si>
  <si>
    <t xml:space="preserve">Показатель непосредственного результата 2.4.9. .Количество образовательных учреждений, выполнивших запланированные мероприятия </t>
  </si>
  <si>
    <t>Основное мероприятие 2.4.8. Обучение работников мерам пожарной безопасности</t>
  </si>
  <si>
    <t>Показатель непосредственного результата 2.4.10. Количество сотрудников  образовательных учреждений, прошедших обучение</t>
  </si>
  <si>
    <t xml:space="preserve">Задача 2.5.
Повышение энергоэффективности зданий учреждений дополнительного образования.
</t>
  </si>
  <si>
    <t xml:space="preserve">Показатель непосредственного результата 2.5. Количество       учреждений дополнительного образования,  выполнивших запланированные энергосберегающие мероприятия </t>
  </si>
  <si>
    <t>Основное мероприятие 2.5.1. Промывка и опрессовка систем отопления</t>
  </si>
  <si>
    <t>Показатель непосредственного результата 2.5.1. Количество образовательных учреждений, выполнивших по промывке и опрессовке систем отопления</t>
  </si>
  <si>
    <t>Основное мероприятие 2.5.2. Проектирование и строительство газовых котельных</t>
  </si>
  <si>
    <t>Показатель непосредственного результата 2.5.2. Количество образовательных учреждений, выполнивших запланированные мероприятия</t>
  </si>
  <si>
    <t>Основное мероприятие 2.5.2. Ремонт теплотрассы</t>
  </si>
  <si>
    <t>Показатель непосредственного результата 2.5.2.. Количество  образовательных учреждений, выполнивших мероприятия по ремонту теплотрасс</t>
  </si>
  <si>
    <t>Основное мероприятие 2.5.3.  Дооборудование котельных установок</t>
  </si>
  <si>
    <t xml:space="preserve">Показатель непосредственного результата 2.5.4. Количество  образовательных учреждений, выполнивших запланированные мероприятия </t>
  </si>
  <si>
    <t xml:space="preserve">Задача 2.6. Формирование доступной среды в учреждениях дополнительного образования.
</t>
  </si>
  <si>
    <t xml:space="preserve">Показатель непосредственного результата 2.6. Доля учреждений дополнительного образования, выполнивших мероприятия по обеспечению доступности  для маломобильных граждан </t>
  </si>
  <si>
    <t>Основное мероприятие 2.6.1. Выполнение мероприятий по обеспечению в образовательных учреждениях доступной среды для маломобильных граждан</t>
  </si>
  <si>
    <t>Показатель непосредственного результата 2.6.1. Количество образовательных учреждений, выполнивших мероприятия  по обеспечению доступной среды</t>
  </si>
  <si>
    <t xml:space="preserve">Задача 2.7. Мероприятия по использованию информационно-коммуникативных технологий, создание, развитие, модернизация и эксплуатация информационных систем.
</t>
  </si>
  <si>
    <t xml:space="preserve">Показатель непосредственного результата 2.7. Количество образовательных учреждений, использующих информационно-коммуникативные технологии </t>
  </si>
  <si>
    <t>Основное мероприятие 2.7.1. Обслуживание программы 1С-бухгалтерия, 1С-заработная плата.</t>
  </si>
  <si>
    <t>Показатель непосредственного результата 2.7.1.  Количество  образовательных учреждений, выполнивших мероприятия по обслуживанию программы 1С-бухгалтерия, 1С-заработная плата.</t>
  </si>
  <si>
    <t>Основное мероприятие 2.7.2. Приобретение лицензионного программного обеспечения.</t>
  </si>
  <si>
    <t>Показатель непосредственного результата 2.7.2.  Количество  образовательных учреждений, выполнивших мероприятия по приобретению лицензионного программного обеспечения</t>
  </si>
  <si>
    <t>Основное мероприятие 2.7.3. Приобретение оборудования (ПК, ноутбук, мультимедиа, акустические системы, веб-камеры, принтеры и ксероксы, и другие комплектующие)</t>
  </si>
  <si>
    <t>Показатель непосредственного результата 2.7.3. Количество образовательных учреждений, выполнивших мероприятия по приобретению указанного оборудования</t>
  </si>
  <si>
    <t>Основное мероприятие 2.7.4. Приобретение и заправка картриджей.</t>
  </si>
  <si>
    <t>Показатель непосредственного результата 2.7.4. Количество образовательных учреждений, выполнивших мероприятия по приобретению и заправке картриджей</t>
  </si>
  <si>
    <t xml:space="preserve"> Подпрограмма  4. «Обеспечение предоставления качественных услуг муниципальными бюджетными учреждениями, подведомственными управлению образованием администрации МО "Ахтубинский район"»</t>
  </si>
  <si>
    <t>МБУ "УХТОУО МО "Ахтубинский район", МБУ ЦБУО МО "Ахтубинский район"</t>
  </si>
  <si>
    <t>Цель 1.  Реализация  муниципальных услуг муниципальными бюджетными учреждениями, подведомственными управлению образованием администрации МО "Ахтубинский район"</t>
  </si>
  <si>
    <t>Показатель непосредственного результата 1. Доля реализации   муниципальных услуг муниципальными бюджетными учреждениями, подведомственными управлению образованием администрации МО "Ахтубинский район"</t>
  </si>
  <si>
    <t xml:space="preserve">Задача 1.1. Обеспечение предоставления качественных услуг МБУ «Управление по хозяйственному и транспортному обеспечению управления образованием администрации МО «Ахтубинский район» по осуществлению хозяйственно-технического и транспортного обеспечения деятельности управления образованием МО «Ахтубинский район» и МБУ «ЦБУО администрации МО «Ахтубинский район». 
</t>
  </si>
  <si>
    <t>МБУ "УХТОУО МО "Ахтубинский район"</t>
  </si>
  <si>
    <t>Показатель непосредственного результата 1.1. Процент организации эксплуатации и содержания  транспортных средств; Процент технического обслуживания зданий и сооружений (в том числе содержания инженерных коммуникаций).Процент уборки помещений заданий и сооружений,  прилегающих территорий. Процент обеспечение теплом, электроэнергией, холодным водоснабжением зданий и сооружений.</t>
  </si>
  <si>
    <t>Основное мероприятие 1.1.1. Транспортное обеспечение деятельности Управления образованием администрации МО «Ахтубинский район» и МБУ «ЦБУО администрации МО «Ахтубинский район».</t>
  </si>
  <si>
    <t xml:space="preserve">Показатель непосредственного результата 1.1.1. Количество техники, обеспечивающей деятельность упрвления образованием </t>
  </si>
  <si>
    <t>Основное мероприятие 1.1.2. Расходы на проведение итоговой государственной аттестации.</t>
  </si>
  <si>
    <t>Показатель непосредственного результата 1.1.2. Количество,  запланированных мероприятий</t>
  </si>
  <si>
    <t>Основное мероприятие 1.1.2. Хозяйственно-техническое обеспечение деятельности Управления образованием администрации МО «Ахтубинский район» и МБУ «ЦБУО администрации МО «Ахтубинский район».</t>
  </si>
  <si>
    <t xml:space="preserve">Задача 1.2. Своевременный и качественный анализ и контроль деятельности образовательных учреждений, подведомственных управлению образованием администрации МО «Ахтубинский район» по загрязнению окружающей среды, коммунальным услугам  МБУ «Управление по хозяйственному и транспортному обеспечению управления образованием администрации МО «Ахтубинский район». 
</t>
  </si>
  <si>
    <t>Показатель непосредственного результата 1.2.Процент составления статистических отчётов и отчётов по загрязнению окружающей среды, потребления коммунальных услуг учреждениями образования;Процент мониторинга деятельности муниципальных образовательных учреждений системы образования.</t>
  </si>
  <si>
    <t>Основное мероприятие 1.2.1. Мониторинг деятельности муниципальных образовательных учреждений.</t>
  </si>
  <si>
    <t>Показатель непосредственного результата 1.2.1. Количество, проведенных мониторингов</t>
  </si>
  <si>
    <t xml:space="preserve">Задача 1.3  Организация и ведение бухгалтерского  и налогового учета и отчетности  муниципальным бюджетным учреждением «Централизованная бухгалтерия управления образованием администрации МО «Ахтубинский район»  в муниципальных учреждениях , подведомственных управлению образованием администрации МО «Ахтубинский район», управлении образованием администрации МО «Ахтубинский район».     </t>
  </si>
  <si>
    <t xml:space="preserve"> МБУ ЦБУО МО "Ахтубинский район"</t>
  </si>
  <si>
    <t>Показатель непосредственного результата 1.3. K219.Процент качества ведения бухгалтерского и налогового учета и отчетности в соответствии с действующими нормативными документами</t>
  </si>
  <si>
    <t>Основное мероприятие 1.3.1. Обеспечение квалифицированного ведения бухгалтерского и налогового учета и отчетности в соответствии с действующими нормативными документами.</t>
  </si>
  <si>
    <t>Показатель непосредственного результата 1.3.1. Количество мероприятий, направленных на обеспечение квалифицированного ведения бухгалтерского и налогового учета и отчетности</t>
  </si>
  <si>
    <t xml:space="preserve">Цель 2. Обеспечение деятельности муниципальных бюджетных учреждений подведомственных управлению образованием через финансирование на иные цели.
</t>
  </si>
  <si>
    <t>Показатель непосредственного результата 2. Процент выполнения мероприятия по охране труда и техники безопасности.</t>
  </si>
  <si>
    <t xml:space="preserve">Задача 2.1. Реализация основных направлений государственной политики в области охраны труда.
</t>
  </si>
  <si>
    <t>Показатель непосредственного результата 2.1. Процент реализации запланированных мероприятий</t>
  </si>
  <si>
    <t>Основное мероприятие 2.1.1.Медицинский осмотр персонала,  согласно перечня обязательных медосмотров. Медицинский осмотр водителей.</t>
  </si>
  <si>
    <t>Показатель непосредственного результата 2.1.1. Количество сотрудников, прошедших медицинский осмотр</t>
  </si>
  <si>
    <t>чел</t>
  </si>
  <si>
    <t>Основное мероприятие 2.1.2.Специальная оценка условий труда.</t>
  </si>
  <si>
    <t>Показатель непосредственного результата 2.1.2. Количество рабочих мест, прошедших специальную оценку условий труда</t>
  </si>
  <si>
    <t>Основное мероприятие 2.1.2.Приобретение  спецодежды, аптечек, хозяйственных материалов, мягкого инвентаря, лампочек, моющих, дезинфицирующих средств  и т.д.</t>
  </si>
  <si>
    <t>Показатель непосредственного результата 2.1.2. Количество  выполненых  мероприятий</t>
  </si>
  <si>
    <t>Основное мероприятие 2.1.3.Приобретение и оборудование системами ГЛОНАСС  и тахографов на транспортные средства</t>
  </si>
  <si>
    <t xml:space="preserve">Показатель непосредственного результата 2.1.3. . Количество учреждений, выполнивших запланированные мероприятия </t>
  </si>
  <si>
    <t>Основное мероприятие 2.1.4. Обслуживание системы ГЛОНАСС, техническое обслуживание приборов контроля за работой водителя (тахографы).</t>
  </si>
  <si>
    <t xml:space="preserve">Показатель непосредственного результата 2.1.4. Количество учреждений, выполнивших запланированные мероприятия </t>
  </si>
  <si>
    <t>Задача 2.2  Организация мер пожарной безопасности в учреждениях подведомственных управлению образованием</t>
  </si>
  <si>
    <t>Показатель непосредственного результата 2.2. Процент выполнения мероприятий пожарной безопасности</t>
  </si>
  <si>
    <t>Основное мероприятие 2.2.1. Перезарядка огнетушителей.</t>
  </si>
  <si>
    <t xml:space="preserve">Показатель непосредственного результата 2.2.1. Количество учреждений, выполнивших запланированные мероприятия </t>
  </si>
  <si>
    <t>Основное мероприятие 2.2.2. Замеры сопротивления изоляции электросети</t>
  </si>
  <si>
    <t xml:space="preserve">Показатель непосредственного результата 2.2.2. Количество учреждений, выполнивших запланированные мероприятия </t>
  </si>
  <si>
    <t>Основное мероприятие 2.2.3. Ремонт пожарных кранов( противопожарного водоснабжения)</t>
  </si>
  <si>
    <t xml:space="preserve">Показатель непосредственного результата 2.2.3. Количество учреждений, выполнивших запланированные мероприятия </t>
  </si>
  <si>
    <t>Основное мероприятие 2.2.4. Техническое обслуживание и проведение ремонта автоматической пожарной сигнализации.</t>
  </si>
  <si>
    <t xml:space="preserve">Показатель непосредственного результата 2.2.4. Количество учреждений, выполнивших запланированные мероприятия </t>
  </si>
  <si>
    <t>Задача 2.3.Выполнение энергосберегающих  мероприятий в учреждениях подведомственных управлению образованием.</t>
  </si>
  <si>
    <t>Показатель непосредственного результата 2..3.  Процент выполнения мероприятий по энергосбережению и повышению энергоэфективности.</t>
  </si>
  <si>
    <t>Основное мероприятие 2.3.1. Промывка и опресовка системы отопления</t>
  </si>
  <si>
    <t xml:space="preserve">Показатель непосредственного результата 2.3.1.. Количество учреждений, выполнивших запланированные мероприятия </t>
  </si>
  <si>
    <t>Основное мероприятие 2.3.2. Ремонт и обслуживание приборов учета</t>
  </si>
  <si>
    <t xml:space="preserve">Показатель непосредственного результата 2.3.2. Количество учреждений, выполнивших запланированные мероприятия </t>
  </si>
  <si>
    <t>Основное мероприятие 2.3.2. Замена окон</t>
  </si>
  <si>
    <t>Задача 2.4. Обеспечение мероприятий по использованию ИКТ, создания, развития, модернизации и эксплуатации информационных систем.</t>
  </si>
  <si>
    <t xml:space="preserve">Показатель непосредственного результата 2.4. Количество учреждений, выполнивших запланированные мероприятия Процент  ПК имеющих лицензионное программное обеспечение.
Улучшение качества деятельности учреждений подведомственных управлению образованием в информационной системе.
Доля учреждений подведомственных управлению образованием имеющих электронный документооборот.
</t>
  </si>
  <si>
    <t>Основное мероприятие 2.4.1.Обслуживание программ 1С- бухгалтерия, 1С-зарплата.</t>
  </si>
  <si>
    <t xml:space="preserve">Показатель непосредственного результата 2.4.1. Количество учреждений, выполнивших запланированные мероприятия </t>
  </si>
  <si>
    <t>Основное мероприятие 2.4.2. Приобретение лицензионного программного обеспечения.</t>
  </si>
  <si>
    <t xml:space="preserve">Показатель непосредственного результата 2.4.2. Количество учреждений, выполнивших запланированные мероприятия </t>
  </si>
  <si>
    <t>Основное мероприятие 2.4.3. Приобретение оборудования (ПК, ноутбук, мультимедия, акустические системы, веб-камера, принтеры и ксероксы, другие комплектующие).</t>
  </si>
  <si>
    <t xml:space="preserve">Показатель непосредственного результата 2.4.3. Количество учреждений, выполнивших запланированные мероприятия </t>
  </si>
  <si>
    <t>Основное мероприятие 2.4.4. Приобретение и заправка картриджей.</t>
  </si>
  <si>
    <t xml:space="preserve">Показатель непосредственного результата 2.4.4. Количество учреждений, выполнивших запланированные мероприятия </t>
  </si>
  <si>
    <t>Основное мероприятие 2.4.5. Переподготовка специалистов по новым программам ведения бухгалтерского учета</t>
  </si>
  <si>
    <t xml:space="preserve">Показатель непосредственного результата 2.4.5. Количество специалистов,прошедших переподготовку по новым программам ведения бухгалтерского учета </t>
  </si>
  <si>
    <t>Задача 2.5. Создание условий для устойчивого функционирования зданий, сооружений, инженерных коммуникаций учреждений подведомственных управлению образованием.</t>
  </si>
  <si>
    <t>Показатель непосредственного результата 2.5. Процент выполнения мероприятий по реконструкции, проведению ремонта зданий, сооружений, инженерных коммуникаций, ограждений и благоустройству территории.</t>
  </si>
  <si>
    <t>Основное мероприятие 2.5.1. Проведение реконструкции, капитального, текущего ремонта зданий и сооружений</t>
  </si>
  <si>
    <t>Показатель непосредственного результата 2.5.1.  Количество мероприятий по проведению реконструкции, капитального, текущего ремонта зданий и сооружений</t>
  </si>
  <si>
    <t>Основное мероприятие 2.5.2. Устранение аварий</t>
  </si>
  <si>
    <t>Показатель непосредственного результата 2.5.2.  Количество мероприятий по устранению аварий</t>
  </si>
  <si>
    <t>Основное мероприятие 2.5.3. Проведение технического надзора за строительными работами</t>
  </si>
  <si>
    <t xml:space="preserve">Показатель непосредственного результата 2.5.3.  Количество запланированных мероприятий </t>
  </si>
  <si>
    <t>Основное мероприятие 2.5.4. Ремонт фасадов</t>
  </si>
  <si>
    <t>Показатель непосредственного результата 2.5.4.  Количество мероприятий по проведению ремонта фасада</t>
  </si>
  <si>
    <t>Основное мероприятие 2.5.5. Благоустройство территорий и ограждений</t>
  </si>
  <si>
    <t>Показатель непосредственного результата 2.5.5.  Количество мероприятий по благоустройству территорий и огрждений</t>
  </si>
  <si>
    <t>Основное мероприятие 2.5.6. Разработка проектно-сметной документации, технических и кадастровых паспортов</t>
  </si>
  <si>
    <t>Показатель непосредственного результата 2.5.6.  Количество мероприятий по разработке проектно-сметной документации, технических и кадастровых паспортов</t>
  </si>
  <si>
    <t>Основное мероприятие 2.5.7. Замена оконных и дверных блоков</t>
  </si>
  <si>
    <t>Показатель непосредственного результата 2.5.7.  Количество мероприятий по замене оконных и дверных блоков</t>
  </si>
  <si>
    <t>Задача 2.6. Развитие материально-технической базы учреждений подведомственных управлению образованием.</t>
  </si>
  <si>
    <t>Показатель непосредственного результата 2.6.1.  Процент обеспечения комфортных, безопасных, современных условий труда</t>
  </si>
  <si>
    <t>Основное мероприятие 2.6.1. Приобретение мебели офисной и оборудования(холодильники, электронагревательные приборы, кондиционеры и прочее).</t>
  </si>
  <si>
    <t xml:space="preserve">Показатель непосредственного результата 2.6.1.  Количество выполненных мероприятий </t>
  </si>
  <si>
    <t>Задача 2.7. Организация мероприятий, направленных  на создание доступной среды.</t>
  </si>
  <si>
    <t>Показатель непосредственного результата 2.7.  Процент выполнения мероприятий по обеспечению доступности   маломобильных граждан.</t>
  </si>
  <si>
    <t>Основное мероприятие 2.7.1. Выполнение мероприятий по обеспечению в зданиях доступной среды для маломобильных граждан</t>
  </si>
  <si>
    <t>Показатель непосредственного результата 2.7.1.  Количество реализации запланированных мероприятий</t>
  </si>
  <si>
    <t>Подпрограмма 5 "Одаренные дети МО "Ахтубинский район"</t>
  </si>
  <si>
    <t>Цель 1. Обеспечение благоприятных условий для создания единой муниципальной системы выявления, развития и адресной поддержки одаренных детей в различных областях интелликтуальной и творческой деятельности.</t>
  </si>
  <si>
    <t>Показатель 1. Количество  образовательных учреждений, в которых созданы благоприятные условия для создания единой муниципальной системы выявления, развития и адресной поддержки одаренных детей в различных областях интелликтуальной и творческой деятельности</t>
  </si>
  <si>
    <t>Задача 1.1. Создание муниципальной системы выявления и развития детской одаренности и адресной поддержки детей в соответствии с их способностями.</t>
  </si>
  <si>
    <t>Показатель 1.1. Количество образовательных учреждений, где создана система выявления и развития детской одаренности и адресной поддержки детей</t>
  </si>
  <si>
    <t>Основное мероприятие 1.1.1. Участие одаренных детей в  российских, международных, региональных, муниципальных олимпиадах, фестивалях, соревнованиях, конкурсах, смотрах, чемпионатах</t>
  </si>
  <si>
    <t>Показатель 1.1.1. Количество детей школьного возраста – победителей всероссийских, региональных, муниципальных конкурсов, соревнований, олимпиад и иных мероприятий, проведенных в рамках подпрограммы</t>
  </si>
  <si>
    <t>Основное мероприятие 1.1.2. Присуждение муниципальных стипендий одаренным учащимся за достижения в спортивной, творческой, учебной и научной деятельности и отличные успехи в учебе</t>
  </si>
  <si>
    <t>Показатель 1.1.2 Количество обучающихся, получивших стипендии</t>
  </si>
  <si>
    <t>Основное мероприятие 1.1.3. Чествование учащихся 9-х классов, окончивших основную школу с отличием</t>
  </si>
  <si>
    <t xml:space="preserve">Показатель 1.1.3.  Количество обучающихся , получивших поощрение </t>
  </si>
  <si>
    <t>Подпрограмма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доступности качественных образовательных услуг через модернизацию системы повышения квалификации, и повышения престижа педагогической профессии»</t>
  </si>
  <si>
    <t>Цель 1: повышение качества предоставления образовательных услуг через повышение уровня квалификации и профессионализма руководящих и педагогических кадров, как определяющего фактора, обеспечивающего успешность обучения и становление личностей обучающихся (воспитанников).</t>
  </si>
  <si>
    <t>Показатель 1. Количество образовательных учреждений, в которых созданы  условия для повышения уровня квалификации и профессионализма руководящих и педагогических кадров, как определяющего фактора, обеспечивающего успешность обучения и становление личностей обучающихся (воспитанников).</t>
  </si>
  <si>
    <t>Задача 1.1. Создание условий для развития системы повышения квалификации</t>
  </si>
  <si>
    <t>Показатель 1.1. Количество образовательных учреждений, в которых созданы условия для развития системы повышения квалификации</t>
  </si>
  <si>
    <t xml:space="preserve">Основное мероприятие 1.1.1. Организация курсов повышения квалификации, семинаров, стажировок и тренингов  руководящих и педагогических работников образовательных учреждений по договору </t>
  </si>
  <si>
    <t>Управление образованием администрации МО "Ахтубинский район"</t>
  </si>
  <si>
    <t xml:space="preserve">Показатель 1.1.1.  Количество руководителей и педагогических работников, прошедших плановое повышение квалификаци </t>
  </si>
  <si>
    <t>Задача 1.2.  Повышение престижа педагогической профессии.</t>
  </si>
  <si>
    <t>Показатель 2. Количество образовательных учреждений, создавших систему мер направленную на повышение престижа педагогической профессии</t>
  </si>
  <si>
    <t>Основное мероприятие 1.2.1. Проведение ежегодной августовской конференции.</t>
  </si>
  <si>
    <t xml:space="preserve">Показатель 1.2.1.  Количество руководителей и педагогических работников, награжденных  по итогам учебного года </t>
  </si>
  <si>
    <t>Чел.</t>
  </si>
  <si>
    <t xml:space="preserve">Основное мероприятие 1.2.2. Чествование руководителей и  педагогических работников. </t>
  </si>
  <si>
    <t>Показатель 1.2.2.  Количество руководителей и педагогических работников, награжденных за высокие достижения обучающихся (воспитанников)</t>
  </si>
  <si>
    <t>Основное мероприятие 1.2.3. Чествование педагогов, получивших гранты.</t>
  </si>
  <si>
    <t>Показатель 1.2.3. Количество педагогов, получивших гранты</t>
  </si>
  <si>
    <t>Основное мероприятие 1.2.3. Участие в мероприятии "Педагогический десант".</t>
  </si>
  <si>
    <t>Показатель 1.2.3.  Количество педагогических работников , участвующих в мероприятии "Педагогический десант"  т</t>
  </si>
  <si>
    <t>Верно: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</si>
</sst>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left" vertical="top"/>
    </xf>
    <xf numFmtId="164" fontId="3" fillId="2" borderId="0" xfId="0" applyNumberFormat="1" applyFont="1" applyFill="1" applyAlignment="1">
      <alignment horizontal="left" vertical="top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justify" vertical="top"/>
    </xf>
    <xf numFmtId="0" fontId="4" fillId="2" borderId="7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justify"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4" fillId="2" borderId="5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center"/>
    </xf>
    <xf numFmtId="0" fontId="4" fillId="2" borderId="7" xfId="0" applyFont="1" applyFill="1" applyBorder="1" applyAlignment="1">
      <alignment horizontal="justify" vertical="center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/>
    </xf>
    <xf numFmtId="0" fontId="4" fillId="2" borderId="0" xfId="0" applyFont="1" applyFill="1" applyAlignment="1">
      <alignment horizontal="justify"/>
    </xf>
    <xf numFmtId="0" fontId="4" fillId="2" borderId="1" xfId="0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4" fillId="2" borderId="7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justify"/>
    </xf>
    <xf numFmtId="0" fontId="4" fillId="2" borderId="7" xfId="0" applyFont="1" applyFill="1" applyBorder="1" applyAlignment="1"/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5.25-45F89AEA8AA8/&#1052;&#1086;&#1080;%20&#1076;&#1086;&#1082;&#1091;&#1084;&#1077;&#1085;&#1090;&#1099;/Downloads/&#1055;&#1088;&#1080;&#1083;&#1086;&#1078;%20&#8470;2%20&#1082;%20&#1052;&#1055;%20&#1059;&#1054;%20%20&#1085;&#1072;%202017-2020%20&#1089;%20&#1088;&#1072;&#1089;&#109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ДС"/>
      <sheetName val="доп."/>
      <sheetName val="прочие"/>
      <sheetName val="УО"/>
      <sheetName val="информ."/>
      <sheetName val="охр.тр. обуч."/>
      <sheetName val="охр.тр.медосм."/>
      <sheetName val="охр.тр.аттест.раб.мест"/>
      <sheetName val="охр.тр спецодежда"/>
      <sheetName val="охр.тр. ГЛОНАС"/>
      <sheetName val="охр.тр.мед.осм.водит"/>
      <sheetName val="свод охр.тр."/>
      <sheetName val="оборуд."/>
      <sheetName val="оборуд.свод"/>
      <sheetName val="ремонт"/>
      <sheetName val="пож.ДС"/>
      <sheetName val="пож.шк и доп"/>
      <sheetName val="пож.проч."/>
      <sheetName val="энергосбереж"/>
      <sheetName val="СВОД"/>
      <sheetName val="приложение №2"/>
    </sheetNames>
    <sheetDataSet>
      <sheetData sheetId="0" refreshError="1"/>
      <sheetData sheetId="1" refreshError="1"/>
      <sheetData sheetId="2" refreshError="1">
        <row r="179">
          <cell r="J179">
            <v>738.7</v>
          </cell>
        </row>
      </sheetData>
      <sheetData sheetId="3" refreshError="1">
        <row r="181">
          <cell r="J181">
            <v>6332.7</v>
          </cell>
          <cell r="M181">
            <v>6415.7</v>
          </cell>
        </row>
      </sheetData>
      <sheetData sheetId="4" refreshError="1"/>
      <sheetData sheetId="5" refreshError="1"/>
      <sheetData sheetId="6" refreshError="1">
        <row r="58">
          <cell r="L58">
            <v>5.8</v>
          </cell>
          <cell r="O58">
            <v>6.3</v>
          </cell>
        </row>
        <row r="73">
          <cell r="O73">
            <v>6.3</v>
          </cell>
        </row>
      </sheetData>
      <sheetData sheetId="7" refreshError="1"/>
      <sheetData sheetId="8" refreshError="1"/>
      <sheetData sheetId="9" refreshError="1">
        <row r="28">
          <cell r="N28">
            <v>543.70000000000005</v>
          </cell>
          <cell r="R28">
            <v>591.4</v>
          </cell>
        </row>
      </sheetData>
      <sheetData sheetId="10" refreshError="1">
        <row r="20">
          <cell r="J20">
            <v>336</v>
          </cell>
        </row>
        <row r="23">
          <cell r="J23">
            <v>128.9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33">
          <cell r="B133">
            <v>202</v>
          </cell>
        </row>
        <row r="136">
          <cell r="B136">
            <v>219.7</v>
          </cell>
          <cell r="C136">
            <v>175.1</v>
          </cell>
          <cell r="D136">
            <v>292.60000000000002</v>
          </cell>
          <cell r="H136">
            <v>338.6</v>
          </cell>
          <cell r="I136">
            <v>431.2</v>
          </cell>
          <cell r="J136">
            <v>737</v>
          </cell>
        </row>
        <row r="207">
          <cell r="H207">
            <v>22.5</v>
          </cell>
          <cell r="I207">
            <v>32.299999999999997</v>
          </cell>
          <cell r="J207">
            <v>84.2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tabSelected="1" view="pageBreakPreview" topLeftCell="A13" zoomScaleNormal="100" zoomScaleSheetLayoutView="100" workbookViewId="0">
      <pane xSplit="1" ySplit="2" topLeftCell="B15" activePane="bottomRight" state="frozen"/>
      <selection activeCell="A13" sqref="A13"/>
      <selection pane="topRight" activeCell="B13" sqref="B13"/>
      <selection pane="bottomLeft" activeCell="A15" sqref="A15"/>
      <selection pane="bottomRight" activeCell="A283" sqref="A283"/>
    </sheetView>
  </sheetViews>
  <sheetFormatPr defaultColWidth="9.140625" defaultRowHeight="15" x14ac:dyDescent="0.25"/>
  <cols>
    <col min="1" max="1" width="50.140625" style="7" customWidth="1"/>
    <col min="2" max="2" width="6.85546875" style="7" customWidth="1"/>
    <col min="3" max="3" width="23.28515625" style="8" customWidth="1"/>
    <col min="4" max="4" width="11.5703125" style="9" customWidth="1"/>
    <col min="5" max="5" width="12.85546875" style="9" customWidth="1"/>
    <col min="6" max="6" width="10.7109375" style="9" customWidth="1"/>
    <col min="7" max="7" width="10.5703125" style="9" customWidth="1"/>
    <col min="8" max="8" width="13.140625" style="9" customWidth="1"/>
    <col min="9" max="9" width="10.85546875" style="9" customWidth="1"/>
    <col min="10" max="10" width="11.28515625" style="9" customWidth="1"/>
    <col min="11" max="11" width="33.5703125" style="8" customWidth="1"/>
    <col min="12" max="12" width="7.140625" style="11" customWidth="1"/>
    <col min="13" max="13" width="9.7109375" style="11" customWidth="1"/>
    <col min="14" max="14" width="6.42578125" style="11" customWidth="1"/>
    <col min="15" max="15" width="9.140625" style="11" customWidth="1"/>
    <col min="16" max="16" width="6.85546875" style="11" customWidth="1"/>
    <col min="17" max="17" width="7.140625" style="11" customWidth="1"/>
    <col min="18" max="18" width="6.42578125" style="11" customWidth="1"/>
    <col min="19" max="16384" width="9.140625" style="12"/>
  </cols>
  <sheetData>
    <row r="1" spans="1:18" s="1" customFormat="1" ht="18.75" x14ac:dyDescent="0.25">
      <c r="B1" s="2"/>
      <c r="C1" s="3"/>
      <c r="D1" s="3"/>
      <c r="E1" s="3"/>
      <c r="F1" s="4"/>
      <c r="G1" s="4"/>
      <c r="H1" s="4"/>
      <c r="I1" s="4"/>
      <c r="J1" s="4"/>
      <c r="K1" s="5"/>
      <c r="L1" s="6"/>
      <c r="M1" s="6" t="s">
        <v>0</v>
      </c>
      <c r="N1" s="6"/>
      <c r="O1" s="6"/>
    </row>
    <row r="2" spans="1:18" s="1" customFormat="1" ht="18.75" x14ac:dyDescent="0.25">
      <c r="B2" s="2"/>
      <c r="C2" s="3"/>
      <c r="D2" s="3"/>
      <c r="E2" s="3"/>
      <c r="F2" s="4"/>
      <c r="G2" s="4"/>
      <c r="H2" s="4"/>
      <c r="I2" s="4"/>
      <c r="J2" s="4"/>
      <c r="K2" s="5"/>
      <c r="L2" s="6" t="s">
        <v>1</v>
      </c>
      <c r="M2" s="6"/>
      <c r="N2" s="6"/>
      <c r="O2" s="6"/>
    </row>
    <row r="3" spans="1:18" s="1" customFormat="1" ht="18.75" x14ac:dyDescent="0.25">
      <c r="B3" s="2"/>
      <c r="C3" s="3"/>
      <c r="D3" s="3"/>
      <c r="E3" s="3"/>
      <c r="F3" s="4"/>
      <c r="G3" s="4"/>
      <c r="H3" s="4"/>
      <c r="I3" s="4"/>
      <c r="J3" s="4"/>
      <c r="K3" s="5"/>
      <c r="L3" s="6" t="s">
        <v>2</v>
      </c>
      <c r="M3" s="6"/>
      <c r="N3" s="6"/>
      <c r="O3" s="6"/>
    </row>
    <row r="4" spans="1:18" s="1" customFormat="1" ht="18.75" x14ac:dyDescent="0.25">
      <c r="B4" s="2"/>
      <c r="C4" s="3"/>
      <c r="D4" s="3"/>
      <c r="E4" s="3"/>
      <c r="F4" s="4"/>
      <c r="G4" s="4"/>
      <c r="H4" s="4"/>
      <c r="I4" s="4"/>
      <c r="J4" s="4"/>
      <c r="K4" s="5"/>
      <c r="L4" s="6" t="s">
        <v>3</v>
      </c>
      <c r="M4" s="6"/>
      <c r="N4" s="6"/>
      <c r="O4" s="6"/>
    </row>
    <row r="7" spans="1:18" ht="18.75" x14ac:dyDescent="0.25">
      <c r="L7" s="10"/>
      <c r="M7" s="10" t="s">
        <v>4</v>
      </c>
      <c r="N7" s="10"/>
      <c r="O7" s="10"/>
    </row>
    <row r="8" spans="1:18" ht="18.75" x14ac:dyDescent="0.25">
      <c r="L8" s="10"/>
      <c r="M8" s="10" t="s">
        <v>5</v>
      </c>
      <c r="N8" s="10"/>
      <c r="O8" s="10"/>
    </row>
    <row r="9" spans="1:18" x14ac:dyDescent="0.25">
      <c r="E9" s="76" t="s">
        <v>6</v>
      </c>
      <c r="F9" s="77"/>
      <c r="G9" s="77"/>
      <c r="H9" s="77"/>
      <c r="I9" s="77"/>
      <c r="J9" s="77"/>
      <c r="K9" s="77"/>
    </row>
    <row r="10" spans="1:18" x14ac:dyDescent="0.25">
      <c r="E10" s="77"/>
      <c r="F10" s="77"/>
      <c r="G10" s="77"/>
      <c r="H10" s="77"/>
      <c r="I10" s="77"/>
      <c r="J10" s="77"/>
      <c r="K10" s="77"/>
    </row>
    <row r="11" spans="1:18" x14ac:dyDescent="0.25">
      <c r="E11" s="77"/>
      <c r="F11" s="77"/>
      <c r="G11" s="77"/>
      <c r="H11" s="77"/>
      <c r="I11" s="77"/>
      <c r="J11" s="77"/>
      <c r="K11" s="77"/>
    </row>
    <row r="12" spans="1:18" x14ac:dyDescent="0.25">
      <c r="C12" s="13"/>
      <c r="D12" s="14"/>
    </row>
    <row r="13" spans="1:18" x14ac:dyDescent="0.25">
      <c r="A13" s="78" t="s">
        <v>7</v>
      </c>
      <c r="B13" s="78" t="s">
        <v>8</v>
      </c>
      <c r="C13" s="79" t="s">
        <v>9</v>
      </c>
      <c r="D13" s="78" t="s">
        <v>10</v>
      </c>
      <c r="E13" s="80" t="s">
        <v>11</v>
      </c>
      <c r="F13" s="81"/>
      <c r="G13" s="81"/>
      <c r="H13" s="81"/>
      <c r="I13" s="81"/>
      <c r="J13" s="82"/>
      <c r="K13" s="80" t="s">
        <v>12</v>
      </c>
      <c r="L13" s="81"/>
      <c r="M13" s="81"/>
      <c r="N13" s="81"/>
      <c r="O13" s="81"/>
      <c r="P13" s="81"/>
      <c r="Q13" s="15"/>
      <c r="R13" s="16"/>
    </row>
    <row r="14" spans="1:18" ht="97.5" customHeight="1" x14ac:dyDescent="0.25">
      <c r="A14" s="78"/>
      <c r="B14" s="78"/>
      <c r="C14" s="79"/>
      <c r="D14" s="78"/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17" t="s">
        <v>20</v>
      </c>
      <c r="M14" s="17" t="s">
        <v>21</v>
      </c>
      <c r="N14" s="17" t="s">
        <v>14</v>
      </c>
      <c r="O14" s="17" t="s">
        <v>15</v>
      </c>
      <c r="P14" s="17" t="s">
        <v>16</v>
      </c>
      <c r="Q14" s="17" t="s">
        <v>22</v>
      </c>
      <c r="R14" s="17" t="s">
        <v>23</v>
      </c>
    </row>
    <row r="15" spans="1:18" ht="49.5" customHeight="1" x14ac:dyDescent="0.25">
      <c r="A15" s="83" t="s">
        <v>24</v>
      </c>
      <c r="B15" s="83" t="s">
        <v>25</v>
      </c>
      <c r="C15" s="86" t="s">
        <v>26</v>
      </c>
      <c r="D15" s="19" t="s">
        <v>27</v>
      </c>
      <c r="E15" s="20">
        <f>E16+E17</f>
        <v>2475869.5</v>
      </c>
      <c r="F15" s="20">
        <f t="shared" ref="F15:J15" si="0">F16+F17</f>
        <v>566158.80000000005</v>
      </c>
      <c r="G15" s="20">
        <f t="shared" si="0"/>
        <v>590560.39999999991</v>
      </c>
      <c r="H15" s="20">
        <f t="shared" si="0"/>
        <v>398495.30000000005</v>
      </c>
      <c r="I15" s="20">
        <f t="shared" si="0"/>
        <v>384545.2</v>
      </c>
      <c r="J15" s="20">
        <f t="shared" si="0"/>
        <v>536109.80000000005</v>
      </c>
      <c r="K15" s="89"/>
      <c r="L15" s="17"/>
      <c r="M15" s="17"/>
      <c r="N15" s="17"/>
      <c r="O15" s="17"/>
      <c r="P15" s="17"/>
      <c r="Q15" s="17"/>
      <c r="R15" s="17"/>
    </row>
    <row r="16" spans="1:18" ht="74.25" customHeight="1" x14ac:dyDescent="0.25">
      <c r="A16" s="84"/>
      <c r="B16" s="84"/>
      <c r="C16" s="87"/>
      <c r="D16" s="19" t="s">
        <v>28</v>
      </c>
      <c r="E16" s="20">
        <f>E19</f>
        <v>1008516.4</v>
      </c>
      <c r="F16" s="21">
        <f>F19</f>
        <v>172992.7</v>
      </c>
      <c r="G16" s="21">
        <f>G19</f>
        <v>188729.2</v>
      </c>
      <c r="H16" s="21">
        <f>H19</f>
        <v>174376.7</v>
      </c>
      <c r="I16" s="21">
        <f t="shared" ref="I16:J16" si="1">I19</f>
        <v>160426.6</v>
      </c>
      <c r="J16" s="21">
        <f t="shared" si="1"/>
        <v>311991.20000000007</v>
      </c>
      <c r="K16" s="90"/>
      <c r="L16" s="17"/>
      <c r="M16" s="17"/>
      <c r="N16" s="17"/>
      <c r="O16" s="17"/>
      <c r="P16" s="17"/>
      <c r="Q16" s="17"/>
      <c r="R16" s="17"/>
    </row>
    <row r="17" spans="1:18" ht="56.25" customHeight="1" x14ac:dyDescent="0.25">
      <c r="A17" s="85"/>
      <c r="B17" s="85"/>
      <c r="C17" s="88"/>
      <c r="D17" s="19" t="s">
        <v>29</v>
      </c>
      <c r="E17" s="20">
        <f>E20</f>
        <v>1467353.0999999999</v>
      </c>
      <c r="F17" s="20">
        <f t="shared" ref="F17:J17" si="2">F20</f>
        <v>393166.1</v>
      </c>
      <c r="G17" s="20">
        <f t="shared" si="2"/>
        <v>401831.19999999995</v>
      </c>
      <c r="H17" s="20">
        <f t="shared" si="2"/>
        <v>224118.6</v>
      </c>
      <c r="I17" s="20">
        <f t="shared" si="2"/>
        <v>224118.6</v>
      </c>
      <c r="J17" s="20">
        <f t="shared" si="2"/>
        <v>224118.6</v>
      </c>
      <c r="K17" s="91"/>
      <c r="L17" s="17"/>
      <c r="M17" s="17"/>
      <c r="N17" s="17"/>
      <c r="O17" s="17"/>
      <c r="P17" s="17"/>
      <c r="Q17" s="17"/>
      <c r="R17" s="17"/>
    </row>
    <row r="18" spans="1:18" ht="42" customHeight="1" x14ac:dyDescent="0.25">
      <c r="A18" s="92" t="s">
        <v>30</v>
      </c>
      <c r="B18" s="92" t="s">
        <v>25</v>
      </c>
      <c r="C18" s="95" t="s">
        <v>26</v>
      </c>
      <c r="D18" s="22" t="s">
        <v>31</v>
      </c>
      <c r="E18" s="23">
        <f>E19+E20</f>
        <v>2475869.5</v>
      </c>
      <c r="F18" s="23">
        <f t="shared" ref="F18:J18" si="3">F19+F20</f>
        <v>566158.80000000005</v>
      </c>
      <c r="G18" s="23">
        <f t="shared" si="3"/>
        <v>590560.39999999991</v>
      </c>
      <c r="H18" s="23">
        <f t="shared" si="3"/>
        <v>398495.30000000005</v>
      </c>
      <c r="I18" s="23">
        <f t="shared" si="3"/>
        <v>384545.2</v>
      </c>
      <c r="J18" s="23">
        <f t="shared" si="3"/>
        <v>536109.80000000005</v>
      </c>
      <c r="K18" s="95" t="s">
        <v>32</v>
      </c>
      <c r="L18" s="17" t="s">
        <v>33</v>
      </c>
      <c r="M18" s="17">
        <v>100</v>
      </c>
      <c r="N18" s="17">
        <v>100</v>
      </c>
      <c r="O18" s="17">
        <v>100</v>
      </c>
      <c r="P18" s="17">
        <v>100</v>
      </c>
      <c r="Q18" s="17">
        <v>100</v>
      </c>
      <c r="R18" s="17">
        <v>100</v>
      </c>
    </row>
    <row r="19" spans="1:18" ht="60" x14ac:dyDescent="0.25">
      <c r="A19" s="93"/>
      <c r="B19" s="93"/>
      <c r="C19" s="90"/>
      <c r="D19" s="22" t="s">
        <v>28</v>
      </c>
      <c r="E19" s="23">
        <f>E22</f>
        <v>1008516.4</v>
      </c>
      <c r="F19" s="17">
        <f t="shared" ref="F19:J19" si="4">F22</f>
        <v>172992.7</v>
      </c>
      <c r="G19" s="23">
        <f>G22</f>
        <v>188729.2</v>
      </c>
      <c r="H19" s="17">
        <f t="shared" si="4"/>
        <v>174376.7</v>
      </c>
      <c r="I19" s="17">
        <f t="shared" si="4"/>
        <v>160426.6</v>
      </c>
      <c r="J19" s="17">
        <f t="shared" si="4"/>
        <v>311991.20000000007</v>
      </c>
      <c r="K19" s="90"/>
      <c r="L19" s="17"/>
      <c r="M19" s="17"/>
      <c r="N19" s="17"/>
      <c r="O19" s="17"/>
      <c r="P19" s="17"/>
      <c r="Q19" s="17"/>
      <c r="R19" s="17"/>
    </row>
    <row r="20" spans="1:18" ht="48.75" customHeight="1" x14ac:dyDescent="0.25">
      <c r="A20" s="94"/>
      <c r="B20" s="94"/>
      <c r="C20" s="91"/>
      <c r="D20" s="22" t="s">
        <v>29</v>
      </c>
      <c r="E20" s="24">
        <f>E24</f>
        <v>1467353.0999999999</v>
      </c>
      <c r="F20" s="24">
        <f t="shared" ref="F20:J20" si="5">F24</f>
        <v>393166.1</v>
      </c>
      <c r="G20" s="24">
        <f t="shared" si="5"/>
        <v>401831.19999999995</v>
      </c>
      <c r="H20" s="24">
        <f t="shared" si="5"/>
        <v>224118.6</v>
      </c>
      <c r="I20" s="24">
        <f t="shared" si="5"/>
        <v>224118.6</v>
      </c>
      <c r="J20" s="24">
        <f t="shared" si="5"/>
        <v>224118.6</v>
      </c>
      <c r="K20" s="91"/>
      <c r="L20" s="17"/>
      <c r="M20" s="17"/>
      <c r="N20" s="17"/>
      <c r="O20" s="17"/>
      <c r="P20" s="17"/>
      <c r="Q20" s="17"/>
      <c r="R20" s="17"/>
    </row>
    <row r="21" spans="1:18" ht="15" customHeight="1" x14ac:dyDescent="0.25">
      <c r="A21" s="92" t="s">
        <v>34</v>
      </c>
      <c r="B21" s="92" t="s">
        <v>25</v>
      </c>
      <c r="C21" s="95" t="s">
        <v>26</v>
      </c>
      <c r="D21" s="25" t="s">
        <v>31</v>
      </c>
      <c r="E21" s="24">
        <f>E22+E24</f>
        <v>2475869.5</v>
      </c>
      <c r="F21" s="24">
        <f t="shared" ref="F21:J21" si="6">F22+F24</f>
        <v>566158.80000000005</v>
      </c>
      <c r="G21" s="24">
        <f t="shared" si="6"/>
        <v>590560.39999999991</v>
      </c>
      <c r="H21" s="24">
        <f t="shared" si="6"/>
        <v>398495.30000000005</v>
      </c>
      <c r="I21" s="24">
        <f t="shared" si="6"/>
        <v>384545.2</v>
      </c>
      <c r="J21" s="24">
        <f t="shared" si="6"/>
        <v>536109.80000000005</v>
      </c>
      <c r="K21" s="105" t="s">
        <v>35</v>
      </c>
      <c r="L21" s="17"/>
      <c r="M21" s="17"/>
      <c r="N21" s="17"/>
      <c r="O21" s="17"/>
      <c r="P21" s="17"/>
      <c r="Q21" s="17"/>
      <c r="R21" s="17"/>
    </row>
    <row r="22" spans="1:18" ht="54" customHeight="1" x14ac:dyDescent="0.25">
      <c r="A22" s="93"/>
      <c r="B22" s="93"/>
      <c r="C22" s="90"/>
      <c r="D22" s="92" t="s">
        <v>28</v>
      </c>
      <c r="E22" s="107">
        <f t="shared" ref="E22:J22" si="7">E26+E87+E166+E217+E268+E274</f>
        <v>1008516.4</v>
      </c>
      <c r="F22" s="107">
        <f t="shared" si="7"/>
        <v>172992.7</v>
      </c>
      <c r="G22" s="107">
        <f>G26+G87+G166+G217+G268+G274</f>
        <v>188729.2</v>
      </c>
      <c r="H22" s="107">
        <f t="shared" si="7"/>
        <v>174376.7</v>
      </c>
      <c r="I22" s="107">
        <f t="shared" si="7"/>
        <v>160426.6</v>
      </c>
      <c r="J22" s="107">
        <f t="shared" si="7"/>
        <v>311991.20000000007</v>
      </c>
      <c r="K22" s="106"/>
      <c r="L22" s="17" t="s">
        <v>36</v>
      </c>
      <c r="M22" s="17">
        <v>8990</v>
      </c>
      <c r="N22" s="17">
        <v>9092</v>
      </c>
      <c r="O22" s="17">
        <v>9092</v>
      </c>
      <c r="P22" s="17">
        <v>9092</v>
      </c>
      <c r="Q22" s="17">
        <v>9092</v>
      </c>
      <c r="R22" s="17">
        <v>9092</v>
      </c>
    </row>
    <row r="23" spans="1:18" ht="77.25" x14ac:dyDescent="0.25">
      <c r="A23" s="93"/>
      <c r="B23" s="93"/>
      <c r="C23" s="90"/>
      <c r="D23" s="94"/>
      <c r="E23" s="108"/>
      <c r="F23" s="108"/>
      <c r="G23" s="108"/>
      <c r="H23" s="108"/>
      <c r="I23" s="108"/>
      <c r="J23" s="108"/>
      <c r="K23" s="26" t="s">
        <v>37</v>
      </c>
      <c r="L23" s="17" t="s">
        <v>33</v>
      </c>
      <c r="M23" s="27">
        <v>100</v>
      </c>
      <c r="N23" s="27">
        <v>100</v>
      </c>
      <c r="O23" s="17">
        <v>100</v>
      </c>
      <c r="P23" s="17">
        <v>100</v>
      </c>
      <c r="Q23" s="17">
        <v>100</v>
      </c>
      <c r="R23" s="17">
        <v>100</v>
      </c>
    </row>
    <row r="24" spans="1:18" ht="99" customHeight="1" x14ac:dyDescent="0.25">
      <c r="A24" s="94"/>
      <c r="B24" s="94"/>
      <c r="C24" s="90"/>
      <c r="D24" s="22" t="s">
        <v>29</v>
      </c>
      <c r="E24" s="23">
        <f t="shared" ref="E24:J24" si="8">E27+E88+E218</f>
        <v>1467353.0999999999</v>
      </c>
      <c r="F24" s="23">
        <f t="shared" si="8"/>
        <v>393166.1</v>
      </c>
      <c r="G24" s="23">
        <f t="shared" si="8"/>
        <v>401831.19999999995</v>
      </c>
      <c r="H24" s="23">
        <f t="shared" si="8"/>
        <v>224118.6</v>
      </c>
      <c r="I24" s="23">
        <f t="shared" si="8"/>
        <v>224118.6</v>
      </c>
      <c r="J24" s="23">
        <f t="shared" si="8"/>
        <v>224118.6</v>
      </c>
      <c r="K24" s="28" t="s">
        <v>38</v>
      </c>
      <c r="L24" s="17" t="s">
        <v>39</v>
      </c>
      <c r="M24" s="27">
        <v>50</v>
      </c>
      <c r="N24" s="27">
        <v>50</v>
      </c>
      <c r="O24" s="17">
        <v>45</v>
      </c>
      <c r="P24" s="17">
        <v>45</v>
      </c>
      <c r="Q24" s="17">
        <v>45</v>
      </c>
      <c r="R24" s="17">
        <v>45</v>
      </c>
    </row>
    <row r="25" spans="1:18" ht="42.75" customHeight="1" x14ac:dyDescent="0.25">
      <c r="A25" s="109" t="s">
        <v>40</v>
      </c>
      <c r="B25" s="92" t="s">
        <v>25</v>
      </c>
      <c r="C25" s="95" t="s">
        <v>26</v>
      </c>
      <c r="D25" s="22" t="s">
        <v>27</v>
      </c>
      <c r="E25" s="21">
        <f>E26+E27</f>
        <v>794892.70000000007</v>
      </c>
      <c r="F25" s="21">
        <f t="shared" ref="F25:J25" si="9">F26+F27</f>
        <v>183767.3</v>
      </c>
      <c r="G25" s="21">
        <f t="shared" si="9"/>
        <v>192821.9</v>
      </c>
      <c r="H25" s="21">
        <f t="shared" si="9"/>
        <v>127618</v>
      </c>
      <c r="I25" s="21">
        <f t="shared" si="9"/>
        <v>123143.4</v>
      </c>
      <c r="J25" s="21">
        <f t="shared" si="9"/>
        <v>167542.1</v>
      </c>
      <c r="K25" s="102"/>
      <c r="L25" s="17"/>
      <c r="M25" s="27"/>
      <c r="N25" s="27"/>
      <c r="O25" s="17"/>
      <c r="P25" s="17"/>
      <c r="Q25" s="17"/>
      <c r="R25" s="17"/>
    </row>
    <row r="26" spans="1:18" ht="60" x14ac:dyDescent="0.25">
      <c r="A26" s="110"/>
      <c r="B26" s="93"/>
      <c r="C26" s="112"/>
      <c r="D26" s="22" t="s">
        <v>28</v>
      </c>
      <c r="E26" s="29">
        <f>E29+E43</f>
        <v>318681.2</v>
      </c>
      <c r="F26" s="29">
        <f>F29+F43</f>
        <v>54763.600000000006</v>
      </c>
      <c r="G26" s="29">
        <f>G29+G43</f>
        <v>60667.6</v>
      </c>
      <c r="H26" s="29">
        <f>H29+H43</f>
        <v>55933.5</v>
      </c>
      <c r="I26" s="29">
        <f t="shared" ref="I26:J26" si="10">I29+I43</f>
        <v>51458.9</v>
      </c>
      <c r="J26" s="29">
        <f t="shared" si="10"/>
        <v>95857.600000000006</v>
      </c>
      <c r="K26" s="103"/>
      <c r="L26" s="30"/>
      <c r="M26" s="30"/>
      <c r="N26" s="30"/>
      <c r="O26" s="30"/>
      <c r="P26" s="30"/>
      <c r="Q26" s="30"/>
      <c r="R26" s="30"/>
    </row>
    <row r="27" spans="1:18" ht="45" x14ac:dyDescent="0.25">
      <c r="A27" s="111"/>
      <c r="B27" s="94"/>
      <c r="C27" s="113"/>
      <c r="D27" s="22" t="s">
        <v>29</v>
      </c>
      <c r="E27" s="29">
        <f>E30</f>
        <v>476211.50000000006</v>
      </c>
      <c r="F27" s="29">
        <f t="shared" ref="F27:J27" si="11">F30</f>
        <v>129003.7</v>
      </c>
      <c r="G27" s="29">
        <f t="shared" si="11"/>
        <v>132154.29999999999</v>
      </c>
      <c r="H27" s="29">
        <f t="shared" si="11"/>
        <v>71684.5</v>
      </c>
      <c r="I27" s="29">
        <f t="shared" si="11"/>
        <v>71684.5</v>
      </c>
      <c r="J27" s="29">
        <f t="shared" si="11"/>
        <v>71684.5</v>
      </c>
      <c r="K27" s="104"/>
      <c r="L27" s="30"/>
      <c r="M27" s="30"/>
      <c r="N27" s="30"/>
      <c r="O27" s="30"/>
      <c r="P27" s="30"/>
      <c r="Q27" s="30"/>
      <c r="R27" s="30"/>
    </row>
    <row r="28" spans="1:18" ht="26.25" customHeight="1" x14ac:dyDescent="0.25">
      <c r="A28" s="96" t="s">
        <v>41</v>
      </c>
      <c r="B28" s="92" t="s">
        <v>25</v>
      </c>
      <c r="C28" s="99" t="s">
        <v>26</v>
      </c>
      <c r="D28" s="22" t="s">
        <v>31</v>
      </c>
      <c r="E28" s="31">
        <f>E29+E30</f>
        <v>757668.40000000014</v>
      </c>
      <c r="F28" s="31">
        <f t="shared" ref="F28:J28" si="12">F29+F30</f>
        <v>179876.5</v>
      </c>
      <c r="G28" s="31">
        <f t="shared" si="12"/>
        <v>190793.3</v>
      </c>
      <c r="H28" s="31">
        <f t="shared" si="12"/>
        <v>126193.5</v>
      </c>
      <c r="I28" s="31">
        <f t="shared" si="12"/>
        <v>121832.8</v>
      </c>
      <c r="J28" s="31">
        <f t="shared" si="12"/>
        <v>138972.29999999999</v>
      </c>
      <c r="K28" s="102" t="s">
        <v>42</v>
      </c>
      <c r="L28" s="30" t="s">
        <v>33</v>
      </c>
      <c r="M28" s="30">
        <v>100</v>
      </c>
      <c r="N28" s="30">
        <v>100</v>
      </c>
      <c r="O28" s="30">
        <v>100</v>
      </c>
      <c r="P28" s="30">
        <v>100</v>
      </c>
      <c r="Q28" s="30">
        <v>100</v>
      </c>
      <c r="R28" s="30">
        <v>100</v>
      </c>
    </row>
    <row r="29" spans="1:18" ht="50.25" customHeight="1" x14ac:dyDescent="0.25">
      <c r="A29" s="97"/>
      <c r="B29" s="93"/>
      <c r="C29" s="100"/>
      <c r="D29" s="22" t="s">
        <v>28</v>
      </c>
      <c r="E29" s="32">
        <f>E32+E40</f>
        <v>281456.90000000002</v>
      </c>
      <c r="F29" s="32">
        <f>F32+F40</f>
        <v>50872.800000000003</v>
      </c>
      <c r="G29" s="32">
        <f>G32+G40</f>
        <v>58639</v>
      </c>
      <c r="H29" s="32">
        <f>H32+H40</f>
        <v>54509</v>
      </c>
      <c r="I29" s="32">
        <f t="shared" ref="I29:J29" si="13">I32+I40</f>
        <v>50148.3</v>
      </c>
      <c r="J29" s="32">
        <f t="shared" si="13"/>
        <v>67287.8</v>
      </c>
      <c r="K29" s="103"/>
      <c r="L29" s="17"/>
      <c r="M29" s="17"/>
      <c r="N29" s="17"/>
      <c r="O29" s="17"/>
      <c r="P29" s="17"/>
      <c r="Q29" s="17"/>
      <c r="R29" s="17"/>
    </row>
    <row r="30" spans="1:18" ht="52.5" customHeight="1" x14ac:dyDescent="0.25">
      <c r="A30" s="98"/>
      <c r="B30" s="94"/>
      <c r="C30" s="101"/>
      <c r="D30" s="22" t="s">
        <v>29</v>
      </c>
      <c r="E30" s="32">
        <f>E33</f>
        <v>476211.50000000006</v>
      </c>
      <c r="F30" s="32">
        <f t="shared" ref="F30:J30" si="14">F33</f>
        <v>129003.7</v>
      </c>
      <c r="G30" s="32">
        <f t="shared" si="14"/>
        <v>132154.29999999999</v>
      </c>
      <c r="H30" s="32">
        <f t="shared" si="14"/>
        <v>71684.5</v>
      </c>
      <c r="I30" s="32">
        <f t="shared" si="14"/>
        <v>71684.5</v>
      </c>
      <c r="J30" s="32">
        <f t="shared" si="14"/>
        <v>71684.5</v>
      </c>
      <c r="K30" s="104"/>
      <c r="L30" s="17"/>
      <c r="M30" s="17"/>
      <c r="N30" s="17"/>
      <c r="O30" s="17"/>
      <c r="P30" s="17"/>
      <c r="Q30" s="17"/>
      <c r="R30" s="17"/>
    </row>
    <row r="31" spans="1:18" ht="27" customHeight="1" x14ac:dyDescent="0.25">
      <c r="A31" s="96" t="s">
        <v>43</v>
      </c>
      <c r="B31" s="92" t="s">
        <v>25</v>
      </c>
      <c r="C31" s="99" t="s">
        <v>26</v>
      </c>
      <c r="D31" s="22" t="s">
        <v>31</v>
      </c>
      <c r="E31" s="32">
        <f>E32+E33</f>
        <v>646377.90000000014</v>
      </c>
      <c r="F31" s="32">
        <f t="shared" ref="F31:J31" si="15">F32+F33</f>
        <v>164214.9</v>
      </c>
      <c r="G31" s="32">
        <f t="shared" si="15"/>
        <v>167161.79999999999</v>
      </c>
      <c r="H31" s="32">
        <f t="shared" si="15"/>
        <v>102562</v>
      </c>
      <c r="I31" s="32">
        <f t="shared" si="15"/>
        <v>98183.1</v>
      </c>
      <c r="J31" s="32">
        <f t="shared" si="15"/>
        <v>114256.1</v>
      </c>
      <c r="K31" s="33"/>
      <c r="L31" s="17"/>
      <c r="M31" s="17"/>
      <c r="N31" s="17"/>
      <c r="O31" s="17"/>
      <c r="P31" s="17"/>
      <c r="Q31" s="17"/>
      <c r="R31" s="17"/>
    </row>
    <row r="32" spans="1:18" ht="63.75" x14ac:dyDescent="0.25">
      <c r="A32" s="97"/>
      <c r="B32" s="93"/>
      <c r="C32" s="100"/>
      <c r="D32" s="22" t="s">
        <v>28</v>
      </c>
      <c r="E32" s="32">
        <f>E35</f>
        <v>170166.40000000002</v>
      </c>
      <c r="F32" s="32">
        <f t="shared" ref="F32:I32" si="16">F35</f>
        <v>35211.200000000004</v>
      </c>
      <c r="G32" s="32">
        <f>G35</f>
        <v>35007.5</v>
      </c>
      <c r="H32" s="32">
        <f t="shared" si="16"/>
        <v>30877.5</v>
      </c>
      <c r="I32" s="32">
        <f t="shared" si="16"/>
        <v>26498.600000000002</v>
      </c>
      <c r="J32" s="32">
        <f>J35</f>
        <v>42571.600000000006</v>
      </c>
      <c r="K32" s="34" t="s">
        <v>44</v>
      </c>
      <c r="L32" s="17" t="s">
        <v>33</v>
      </c>
      <c r="M32" s="17">
        <v>67.53</v>
      </c>
      <c r="N32" s="17">
        <v>67.56</v>
      </c>
      <c r="O32" s="17">
        <v>67.599999999999994</v>
      </c>
      <c r="P32" s="17">
        <v>67.72</v>
      </c>
      <c r="Q32" s="17">
        <v>67.72</v>
      </c>
      <c r="R32" s="17">
        <v>67.72</v>
      </c>
    </row>
    <row r="33" spans="1:18" ht="45" x14ac:dyDescent="0.25">
      <c r="A33" s="98"/>
      <c r="B33" s="94"/>
      <c r="C33" s="101"/>
      <c r="D33" s="22" t="s">
        <v>29</v>
      </c>
      <c r="E33" s="32">
        <f>E36+E39</f>
        <v>476211.50000000006</v>
      </c>
      <c r="F33" s="32">
        <f t="shared" ref="F33:J33" si="17">F36+F39</f>
        <v>129003.7</v>
      </c>
      <c r="G33" s="32">
        <f t="shared" si="17"/>
        <v>132154.29999999999</v>
      </c>
      <c r="H33" s="32">
        <f t="shared" si="17"/>
        <v>71684.5</v>
      </c>
      <c r="I33" s="32">
        <f t="shared" si="17"/>
        <v>71684.5</v>
      </c>
      <c r="J33" s="32">
        <f t="shared" si="17"/>
        <v>71684.5</v>
      </c>
      <c r="K33" s="35"/>
      <c r="L33" s="17"/>
      <c r="M33" s="17"/>
      <c r="N33" s="17"/>
      <c r="O33" s="17"/>
      <c r="P33" s="17"/>
      <c r="Q33" s="17"/>
      <c r="R33" s="17"/>
    </row>
    <row r="34" spans="1:18" x14ac:dyDescent="0.25">
      <c r="A34" s="96" t="s">
        <v>45</v>
      </c>
      <c r="B34" s="92" t="s">
        <v>25</v>
      </c>
      <c r="C34" s="99" t="s">
        <v>26</v>
      </c>
      <c r="D34" s="22" t="s">
        <v>31</v>
      </c>
      <c r="E34" s="32">
        <f>E35+E36</f>
        <v>617272.60000000009</v>
      </c>
      <c r="F34" s="32">
        <f t="shared" ref="F34:J34" si="18">F35+F36</f>
        <v>152681.20000000001</v>
      </c>
      <c r="G34" s="32">
        <f t="shared" si="18"/>
        <v>161494.5</v>
      </c>
      <c r="H34" s="32">
        <f t="shared" si="18"/>
        <v>98593.9</v>
      </c>
      <c r="I34" s="32">
        <f t="shared" si="18"/>
        <v>94215</v>
      </c>
      <c r="J34" s="32">
        <f t="shared" si="18"/>
        <v>110288</v>
      </c>
      <c r="K34" s="99" t="s">
        <v>46</v>
      </c>
      <c r="L34" s="17"/>
      <c r="M34" s="17"/>
      <c r="N34" s="17"/>
      <c r="O34" s="17"/>
      <c r="P34" s="17"/>
      <c r="Q34" s="17"/>
      <c r="R34" s="17"/>
    </row>
    <row r="35" spans="1:18" ht="60" x14ac:dyDescent="0.25">
      <c r="A35" s="97"/>
      <c r="B35" s="93"/>
      <c r="C35" s="100"/>
      <c r="D35" s="22" t="s">
        <v>28</v>
      </c>
      <c r="E35" s="32">
        <f>F35+G35+H35+I35+J35</f>
        <v>170166.40000000002</v>
      </c>
      <c r="F35" s="32">
        <f>50872.8-F40</f>
        <v>35211.200000000004</v>
      </c>
      <c r="G35" s="32">
        <f>58504+135-G40</f>
        <v>35007.5</v>
      </c>
      <c r="H35" s="32">
        <f>54509-H40</f>
        <v>30877.5</v>
      </c>
      <c r="I35" s="32">
        <f>50148.3-I40</f>
        <v>26498.600000000002</v>
      </c>
      <c r="J35" s="32">
        <f>67287.8-J40</f>
        <v>42571.600000000006</v>
      </c>
      <c r="K35" s="112"/>
      <c r="L35" s="17" t="s">
        <v>47</v>
      </c>
      <c r="M35" s="17">
        <v>3392</v>
      </c>
      <c r="N35" s="17">
        <v>3392</v>
      </c>
      <c r="O35" s="17">
        <v>3392</v>
      </c>
      <c r="P35" s="17">
        <v>3392</v>
      </c>
      <c r="Q35" s="17">
        <v>3392</v>
      </c>
      <c r="R35" s="17">
        <v>3392</v>
      </c>
    </row>
    <row r="36" spans="1:18" ht="45" x14ac:dyDescent="0.25">
      <c r="A36" s="98"/>
      <c r="B36" s="94"/>
      <c r="C36" s="101"/>
      <c r="D36" s="22" t="s">
        <v>29</v>
      </c>
      <c r="E36" s="32">
        <f>F36+G36+H36+I36+J36</f>
        <v>447106.20000000007</v>
      </c>
      <c r="F36" s="32">
        <v>117470</v>
      </c>
      <c r="G36" s="32">
        <v>126487</v>
      </c>
      <c r="H36" s="32">
        <v>67716.399999999994</v>
      </c>
      <c r="I36" s="32">
        <v>67716.399999999994</v>
      </c>
      <c r="J36" s="32">
        <v>67716.399999999994</v>
      </c>
      <c r="K36" s="113"/>
      <c r="L36" s="17"/>
      <c r="M36" s="17"/>
      <c r="N36" s="17"/>
      <c r="O36" s="17"/>
      <c r="P36" s="17"/>
      <c r="Q36" s="17"/>
      <c r="R36" s="17"/>
    </row>
    <row r="37" spans="1:18" x14ac:dyDescent="0.25">
      <c r="A37" s="96" t="s">
        <v>48</v>
      </c>
      <c r="B37" s="92" t="s">
        <v>25</v>
      </c>
      <c r="C37" s="99" t="s">
        <v>26</v>
      </c>
      <c r="D37" s="22" t="s">
        <v>31</v>
      </c>
      <c r="E37" s="32">
        <f>E38+E39</f>
        <v>29105.299999999996</v>
      </c>
      <c r="F37" s="32">
        <f t="shared" ref="F37:J37" si="19">F38+F39</f>
        <v>11533.7</v>
      </c>
      <c r="G37" s="32">
        <f t="shared" si="19"/>
        <v>5667.3</v>
      </c>
      <c r="H37" s="32">
        <f t="shared" si="19"/>
        <v>3968.1</v>
      </c>
      <c r="I37" s="32">
        <f t="shared" si="19"/>
        <v>3968.1</v>
      </c>
      <c r="J37" s="32">
        <f t="shared" si="19"/>
        <v>3968.1</v>
      </c>
      <c r="K37" s="99" t="s">
        <v>49</v>
      </c>
      <c r="L37" s="17"/>
      <c r="M37" s="17"/>
      <c r="N37" s="17"/>
      <c r="O37" s="17"/>
      <c r="P37" s="17"/>
      <c r="Q37" s="17"/>
      <c r="R37" s="17"/>
    </row>
    <row r="38" spans="1:18" ht="60" x14ac:dyDescent="0.25">
      <c r="A38" s="97"/>
      <c r="B38" s="93"/>
      <c r="C38" s="100"/>
      <c r="D38" s="22" t="s">
        <v>28</v>
      </c>
      <c r="E38" s="32">
        <f>F38+G38+H38+I38+J38</f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100"/>
      <c r="L38" s="17" t="s">
        <v>47</v>
      </c>
      <c r="M38" s="17">
        <v>3223</v>
      </c>
      <c r="N38" s="17">
        <v>3325</v>
      </c>
      <c r="O38" s="17">
        <v>3325</v>
      </c>
      <c r="P38" s="17">
        <v>3325</v>
      </c>
      <c r="Q38" s="17">
        <v>3325</v>
      </c>
      <c r="R38" s="17">
        <v>3325</v>
      </c>
    </row>
    <row r="39" spans="1:18" ht="45" x14ac:dyDescent="0.25">
      <c r="A39" s="98"/>
      <c r="B39" s="94"/>
      <c r="C39" s="101"/>
      <c r="D39" s="22" t="s">
        <v>29</v>
      </c>
      <c r="E39" s="32">
        <f>F39+G39+H39+I39+J39</f>
        <v>29105.299999999996</v>
      </c>
      <c r="F39" s="32">
        <v>11533.7</v>
      </c>
      <c r="G39" s="32">
        <v>5667.3</v>
      </c>
      <c r="H39" s="32">
        <v>3968.1</v>
      </c>
      <c r="I39" s="32">
        <v>3968.1</v>
      </c>
      <c r="J39" s="32">
        <v>3968.1</v>
      </c>
      <c r="K39" s="101"/>
      <c r="L39" s="17"/>
      <c r="M39" s="17"/>
      <c r="N39" s="17"/>
      <c r="O39" s="17"/>
      <c r="P39" s="17"/>
      <c r="Q39" s="17"/>
      <c r="R39" s="17"/>
    </row>
    <row r="40" spans="1:18" ht="76.5" x14ac:dyDescent="0.25">
      <c r="A40" s="32" t="s">
        <v>50</v>
      </c>
      <c r="B40" s="25" t="s">
        <v>25</v>
      </c>
      <c r="C40" s="36" t="s">
        <v>26</v>
      </c>
      <c r="D40" s="32" t="s">
        <v>51</v>
      </c>
      <c r="E40" s="32">
        <f>E41+E42</f>
        <v>111290.5</v>
      </c>
      <c r="F40" s="32">
        <f>F41+F42</f>
        <v>15661.6</v>
      </c>
      <c r="G40" s="32">
        <f>G41+G42</f>
        <v>23631.5</v>
      </c>
      <c r="H40" s="32">
        <f t="shared" ref="H40:J40" si="20">H41+H42</f>
        <v>23631.5</v>
      </c>
      <c r="I40" s="32">
        <f t="shared" si="20"/>
        <v>23649.7</v>
      </c>
      <c r="J40" s="32">
        <f t="shared" si="20"/>
        <v>24716.2</v>
      </c>
      <c r="K40" s="37" t="s">
        <v>52</v>
      </c>
      <c r="L40" s="17" t="s">
        <v>39</v>
      </c>
      <c r="M40" s="17">
        <v>18</v>
      </c>
      <c r="N40" s="17">
        <v>18</v>
      </c>
      <c r="O40" s="17">
        <v>18</v>
      </c>
      <c r="P40" s="17">
        <v>18</v>
      </c>
      <c r="Q40" s="17">
        <v>18</v>
      </c>
      <c r="R40" s="17">
        <v>18</v>
      </c>
    </row>
    <row r="41" spans="1:18" ht="83.45" customHeight="1" x14ac:dyDescent="0.25">
      <c r="A41" s="32" t="s">
        <v>53</v>
      </c>
      <c r="B41" s="25" t="s">
        <v>25</v>
      </c>
      <c r="C41" s="36" t="s">
        <v>26</v>
      </c>
      <c r="D41" s="32" t="s">
        <v>51</v>
      </c>
      <c r="E41" s="32">
        <f>F41+G41+H41+I41+J41</f>
        <v>86.7</v>
      </c>
      <c r="F41" s="32">
        <v>0</v>
      </c>
      <c r="G41" s="32">
        <v>0</v>
      </c>
      <c r="H41" s="32">
        <f>G41</f>
        <v>0</v>
      </c>
      <c r="I41" s="32">
        <v>18.2</v>
      </c>
      <c r="J41" s="32">
        <v>68.5</v>
      </c>
      <c r="K41" s="36" t="s">
        <v>54</v>
      </c>
      <c r="L41" s="17" t="s">
        <v>39</v>
      </c>
      <c r="M41" s="17">
        <v>18</v>
      </c>
      <c r="N41" s="17">
        <v>18</v>
      </c>
      <c r="O41" s="17">
        <v>18</v>
      </c>
      <c r="P41" s="17">
        <v>18</v>
      </c>
      <c r="Q41" s="17">
        <v>18</v>
      </c>
      <c r="R41" s="17">
        <v>18</v>
      </c>
    </row>
    <row r="42" spans="1:18" ht="86.45" customHeight="1" x14ac:dyDescent="0.25">
      <c r="A42" s="32" t="s">
        <v>55</v>
      </c>
      <c r="B42" s="25" t="s">
        <v>25</v>
      </c>
      <c r="C42" s="36" t="s">
        <v>26</v>
      </c>
      <c r="D42" s="32" t="s">
        <v>51</v>
      </c>
      <c r="E42" s="32">
        <f>F42+G42+H42+I42+J42</f>
        <v>111203.8</v>
      </c>
      <c r="F42" s="32">
        <v>15661.6</v>
      </c>
      <c r="G42" s="32">
        <f>19590.2+3995.1+135-88.8</f>
        <v>23631.5</v>
      </c>
      <c r="H42" s="32">
        <f>G42</f>
        <v>23631.5</v>
      </c>
      <c r="I42" s="32">
        <f>H42</f>
        <v>23631.5</v>
      </c>
      <c r="J42" s="32">
        <f>ROUND(I42*1.043,1)</f>
        <v>24647.7</v>
      </c>
      <c r="K42" s="38" t="s">
        <v>56</v>
      </c>
      <c r="L42" s="17" t="s">
        <v>39</v>
      </c>
      <c r="M42" s="17">
        <v>18</v>
      </c>
      <c r="N42" s="17">
        <v>18</v>
      </c>
      <c r="O42" s="17">
        <v>18</v>
      </c>
      <c r="P42" s="17">
        <v>18</v>
      </c>
      <c r="Q42" s="17">
        <v>18</v>
      </c>
      <c r="R42" s="17">
        <v>18</v>
      </c>
    </row>
    <row r="43" spans="1:18" ht="85.15" customHeight="1" x14ac:dyDescent="0.25">
      <c r="A43" s="32" t="s">
        <v>57</v>
      </c>
      <c r="B43" s="25" t="s">
        <v>25</v>
      </c>
      <c r="C43" s="36" t="s">
        <v>26</v>
      </c>
      <c r="D43" s="32" t="s">
        <v>51</v>
      </c>
      <c r="E43" s="32">
        <f t="shared" ref="E43:J43" si="21">E44+E53+E58+E63+E74+E78+E80</f>
        <v>37224.299999999996</v>
      </c>
      <c r="F43" s="32">
        <f t="shared" si="21"/>
        <v>3890.8</v>
      </c>
      <c r="G43" s="32">
        <f t="shared" si="21"/>
        <v>2028.6</v>
      </c>
      <c r="H43" s="32">
        <f t="shared" si="21"/>
        <v>1424.5</v>
      </c>
      <c r="I43" s="32">
        <f t="shared" si="21"/>
        <v>1310.5999999999999</v>
      </c>
      <c r="J43" s="32">
        <f t="shared" si="21"/>
        <v>28569.800000000003</v>
      </c>
      <c r="K43" s="36" t="s">
        <v>58</v>
      </c>
      <c r="L43" s="17" t="s">
        <v>39</v>
      </c>
      <c r="M43" s="17">
        <v>18</v>
      </c>
      <c r="N43" s="17">
        <v>18</v>
      </c>
      <c r="O43" s="17">
        <v>18</v>
      </c>
      <c r="P43" s="17">
        <v>18</v>
      </c>
      <c r="Q43" s="17">
        <v>18</v>
      </c>
      <c r="R43" s="17">
        <v>18</v>
      </c>
    </row>
    <row r="44" spans="1:18" ht="102" x14ac:dyDescent="0.25">
      <c r="A44" s="32" t="s">
        <v>59</v>
      </c>
      <c r="B44" s="25" t="s">
        <v>25</v>
      </c>
      <c r="C44" s="36" t="s">
        <v>26</v>
      </c>
      <c r="D44" s="32" t="s">
        <v>51</v>
      </c>
      <c r="E44" s="32">
        <f>E45+E46+E47+E48+E49+E50+E51+E52</f>
        <v>10918.4</v>
      </c>
      <c r="F44" s="32">
        <f>F45+F46+F47+F48+F49+F50+F51+F52</f>
        <v>1421.3</v>
      </c>
      <c r="G44" s="32">
        <f t="shared" ref="G44:J44" si="22">G45+G46+G47+G48+G49+G50+G51+G52</f>
        <v>180</v>
      </c>
      <c r="H44" s="32">
        <f t="shared" si="22"/>
        <v>180</v>
      </c>
      <c r="I44" s="32">
        <f t="shared" si="22"/>
        <v>165.6</v>
      </c>
      <c r="J44" s="32">
        <f t="shared" si="22"/>
        <v>8971.5</v>
      </c>
      <c r="K44" s="37" t="s">
        <v>60</v>
      </c>
      <c r="L44" s="17" t="s">
        <v>33</v>
      </c>
      <c r="M44" s="17">
        <v>100</v>
      </c>
      <c r="N44" s="17">
        <v>100</v>
      </c>
      <c r="O44" s="17">
        <v>100</v>
      </c>
      <c r="P44" s="17">
        <v>100</v>
      </c>
      <c r="Q44" s="17">
        <v>100</v>
      </c>
      <c r="R44" s="17">
        <v>100</v>
      </c>
    </row>
    <row r="45" spans="1:18" ht="76.5" x14ac:dyDescent="0.25">
      <c r="A45" s="32" t="s">
        <v>61</v>
      </c>
      <c r="B45" s="25" t="s">
        <v>25</v>
      </c>
      <c r="C45" s="36" t="s">
        <v>26</v>
      </c>
      <c r="D45" s="32" t="s">
        <v>51</v>
      </c>
      <c r="E45" s="32">
        <f>F45+G45+H45+I45+J45</f>
        <v>2050</v>
      </c>
      <c r="F45" s="32">
        <v>0</v>
      </c>
      <c r="G45" s="32">
        <v>0</v>
      </c>
      <c r="H45" s="32">
        <v>0</v>
      </c>
      <c r="I45" s="32">
        <v>0</v>
      </c>
      <c r="J45" s="32">
        <v>2050</v>
      </c>
      <c r="K45" s="36" t="s">
        <v>62</v>
      </c>
      <c r="L45" s="17" t="s">
        <v>63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3</v>
      </c>
    </row>
    <row r="46" spans="1:18" ht="76.5" x14ac:dyDescent="0.25">
      <c r="A46" s="32" t="s">
        <v>64</v>
      </c>
      <c r="B46" s="25" t="s">
        <v>25</v>
      </c>
      <c r="C46" s="36" t="s">
        <v>26</v>
      </c>
      <c r="D46" s="32" t="s">
        <v>51</v>
      </c>
      <c r="E46" s="32">
        <f>F46+G46+H46+I46+J46</f>
        <v>3045.5</v>
      </c>
      <c r="F46" s="32">
        <v>1421.3</v>
      </c>
      <c r="G46" s="32">
        <v>180</v>
      </c>
      <c r="H46" s="32">
        <f>G46</f>
        <v>180</v>
      </c>
      <c r="I46" s="32">
        <v>165.6</v>
      </c>
      <c r="J46" s="32">
        <v>1098.5999999999999</v>
      </c>
      <c r="K46" s="36" t="s">
        <v>65</v>
      </c>
      <c r="L46" s="17" t="s">
        <v>63</v>
      </c>
      <c r="M46" s="17">
        <v>0</v>
      </c>
      <c r="N46" s="17">
        <v>7</v>
      </c>
      <c r="O46" s="17">
        <v>2</v>
      </c>
      <c r="P46" s="17">
        <v>2</v>
      </c>
      <c r="Q46" s="17">
        <v>2</v>
      </c>
      <c r="R46" s="17">
        <v>5</v>
      </c>
    </row>
    <row r="47" spans="1:18" ht="76.5" x14ac:dyDescent="0.25">
      <c r="A47" s="32" t="s">
        <v>66</v>
      </c>
      <c r="B47" s="25" t="s">
        <v>25</v>
      </c>
      <c r="C47" s="36" t="s">
        <v>26</v>
      </c>
      <c r="D47" s="32" t="s">
        <v>51</v>
      </c>
      <c r="E47" s="32">
        <f>F47+G47+H47+I47+J47</f>
        <v>43.9</v>
      </c>
      <c r="F47" s="32">
        <v>0</v>
      </c>
      <c r="G47" s="32">
        <f>ROUND(G45*2.14/100,1)</f>
        <v>0</v>
      </c>
      <c r="H47" s="32">
        <f t="shared" ref="H47:I47" si="23">ROUND(H45*2.14/100,1)</f>
        <v>0</v>
      </c>
      <c r="I47" s="32">
        <f t="shared" si="23"/>
        <v>0</v>
      </c>
      <c r="J47" s="32">
        <f>ROUND(J45*2.14/100,1)</f>
        <v>43.9</v>
      </c>
      <c r="K47" s="36" t="s">
        <v>67</v>
      </c>
      <c r="L47" s="17" t="s">
        <v>39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18</v>
      </c>
    </row>
    <row r="48" spans="1:18" ht="76.5" x14ac:dyDescent="0.25">
      <c r="A48" s="32" t="s">
        <v>68</v>
      </c>
      <c r="B48" s="25" t="s">
        <v>25</v>
      </c>
      <c r="C48" s="36" t="s">
        <v>26</v>
      </c>
      <c r="D48" s="32" t="s">
        <v>51</v>
      </c>
      <c r="E48" s="32">
        <f t="shared" ref="E48:E51" si="24">F48+G48+H48+I48+J48</f>
        <v>450</v>
      </c>
      <c r="F48" s="32">
        <v>0</v>
      </c>
      <c r="G48" s="32">
        <v>0</v>
      </c>
      <c r="H48" s="32">
        <v>0</v>
      </c>
      <c r="I48" s="32">
        <v>0</v>
      </c>
      <c r="J48" s="32">
        <v>450</v>
      </c>
      <c r="K48" s="36" t="s">
        <v>69</v>
      </c>
      <c r="L48" s="17" t="s">
        <v>39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1</v>
      </c>
    </row>
    <row r="49" spans="1:18" ht="76.5" x14ac:dyDescent="0.25">
      <c r="A49" s="32" t="s">
        <v>70</v>
      </c>
      <c r="B49" s="25" t="s">
        <v>25</v>
      </c>
      <c r="C49" s="36" t="s">
        <v>26</v>
      </c>
      <c r="D49" s="32" t="s">
        <v>51</v>
      </c>
      <c r="E49" s="32">
        <f t="shared" si="24"/>
        <v>1879</v>
      </c>
      <c r="F49" s="32">
        <v>0</v>
      </c>
      <c r="G49" s="32">
        <v>0</v>
      </c>
      <c r="H49" s="32">
        <v>0</v>
      </c>
      <c r="I49" s="32">
        <v>0</v>
      </c>
      <c r="J49" s="32">
        <v>1879</v>
      </c>
      <c r="K49" s="36" t="s">
        <v>71</v>
      </c>
      <c r="L49" s="17" t="s">
        <v>39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8</v>
      </c>
    </row>
    <row r="50" spans="1:18" ht="76.5" x14ac:dyDescent="0.25">
      <c r="A50" s="32" t="s">
        <v>72</v>
      </c>
      <c r="B50" s="25" t="s">
        <v>25</v>
      </c>
      <c r="C50" s="36" t="s">
        <v>26</v>
      </c>
      <c r="D50" s="32" t="s">
        <v>51</v>
      </c>
      <c r="E50" s="32">
        <f t="shared" si="24"/>
        <v>150</v>
      </c>
      <c r="F50" s="32">
        <v>0</v>
      </c>
      <c r="G50" s="32">
        <v>0</v>
      </c>
      <c r="H50" s="32">
        <v>0</v>
      </c>
      <c r="I50" s="32">
        <v>0</v>
      </c>
      <c r="J50" s="32">
        <v>150</v>
      </c>
      <c r="K50" s="36" t="s">
        <v>73</v>
      </c>
      <c r="L50" s="17" t="s">
        <v>63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5</v>
      </c>
    </row>
    <row r="51" spans="1:18" ht="76.5" x14ac:dyDescent="0.25">
      <c r="A51" s="32" t="s">
        <v>74</v>
      </c>
      <c r="B51" s="25" t="s">
        <v>25</v>
      </c>
      <c r="C51" s="36" t="s">
        <v>26</v>
      </c>
      <c r="D51" s="32" t="s">
        <v>51</v>
      </c>
      <c r="E51" s="32">
        <f t="shared" si="24"/>
        <v>3300</v>
      </c>
      <c r="F51" s="32">
        <v>0</v>
      </c>
      <c r="G51" s="32">
        <v>0</v>
      </c>
      <c r="H51" s="32">
        <v>0</v>
      </c>
      <c r="I51" s="32">
        <v>0</v>
      </c>
      <c r="J51" s="32">
        <v>3300</v>
      </c>
      <c r="K51" s="36" t="s">
        <v>75</v>
      </c>
      <c r="L51" s="17" t="s">
        <v>39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11</v>
      </c>
    </row>
    <row r="52" spans="1:18" ht="76.5" hidden="1" x14ac:dyDescent="0.25">
      <c r="A52" s="32" t="s">
        <v>76</v>
      </c>
      <c r="B52" s="25" t="s">
        <v>25</v>
      </c>
      <c r="C52" s="36" t="s">
        <v>26</v>
      </c>
      <c r="D52" s="32" t="s">
        <v>51</v>
      </c>
      <c r="E52" s="32">
        <f>F52+G52+H52+I52+J52</f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6" t="s">
        <v>77</v>
      </c>
      <c r="L52" s="17" t="s">
        <v>39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76.5" x14ac:dyDescent="0.25">
      <c r="A53" s="32" t="s">
        <v>78</v>
      </c>
      <c r="B53" s="25" t="s">
        <v>25</v>
      </c>
      <c r="C53" s="36" t="s">
        <v>26</v>
      </c>
      <c r="D53" s="32" t="s">
        <v>51</v>
      </c>
      <c r="E53" s="32">
        <f>E54+E55+E56+E57</f>
        <v>8735.2999999999993</v>
      </c>
      <c r="F53" s="32">
        <f>F54+F55+F56+F57</f>
        <v>0</v>
      </c>
      <c r="G53" s="32">
        <f>G54+G55+G56+G57</f>
        <v>0</v>
      </c>
      <c r="H53" s="32">
        <f t="shared" ref="H53:J53" si="25">H54+H55+H56+H57</f>
        <v>0</v>
      </c>
      <c r="I53" s="32">
        <f t="shared" si="25"/>
        <v>0</v>
      </c>
      <c r="J53" s="32">
        <f t="shared" si="25"/>
        <v>8735.2999999999993</v>
      </c>
      <c r="K53" s="37" t="s">
        <v>79</v>
      </c>
      <c r="L53" s="17" t="s">
        <v>33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100</v>
      </c>
    </row>
    <row r="54" spans="1:18" ht="76.5" x14ac:dyDescent="0.25">
      <c r="A54" s="32" t="s">
        <v>80</v>
      </c>
      <c r="B54" s="25" t="s">
        <v>25</v>
      </c>
      <c r="C54" s="36" t="s">
        <v>26</v>
      </c>
      <c r="D54" s="32" t="s">
        <v>51</v>
      </c>
      <c r="E54" s="32">
        <f>F54+G54+H54+I54+J54</f>
        <v>2626.6</v>
      </c>
      <c r="F54" s="32">
        <v>0</v>
      </c>
      <c r="G54" s="32">
        <v>0</v>
      </c>
      <c r="H54" s="32">
        <v>0</v>
      </c>
      <c r="I54" s="32">
        <v>0</v>
      </c>
      <c r="J54" s="32">
        <v>2626.6</v>
      </c>
      <c r="K54" s="36" t="s">
        <v>81</v>
      </c>
      <c r="L54" s="17" t="s">
        <v>39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18</v>
      </c>
    </row>
    <row r="55" spans="1:18" ht="76.5" x14ac:dyDescent="0.25">
      <c r="A55" s="32" t="s">
        <v>82</v>
      </c>
      <c r="B55" s="25" t="s">
        <v>25</v>
      </c>
      <c r="C55" s="36" t="s">
        <v>26</v>
      </c>
      <c r="D55" s="32" t="s">
        <v>51</v>
      </c>
      <c r="E55" s="32">
        <f>F55+G55+H55+I55+J55</f>
        <v>5106.8999999999996</v>
      </c>
      <c r="F55" s="32">
        <v>0</v>
      </c>
      <c r="G55" s="32">
        <v>0</v>
      </c>
      <c r="H55" s="32">
        <v>0</v>
      </c>
      <c r="I55" s="32">
        <v>0</v>
      </c>
      <c r="J55" s="32">
        <v>5106.8999999999996</v>
      </c>
      <c r="K55" s="36" t="s">
        <v>83</v>
      </c>
      <c r="L55" s="17" t="s">
        <v>39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18</v>
      </c>
    </row>
    <row r="56" spans="1:18" ht="76.5" x14ac:dyDescent="0.25">
      <c r="A56" s="32" t="s">
        <v>84</v>
      </c>
      <c r="B56" s="25" t="s">
        <v>25</v>
      </c>
      <c r="C56" s="36" t="s">
        <v>26</v>
      </c>
      <c r="D56" s="32" t="s">
        <v>51</v>
      </c>
      <c r="E56" s="32">
        <f>F56+G56+H56+I56+J56</f>
        <v>847.8</v>
      </c>
      <c r="F56" s="32">
        <v>0</v>
      </c>
      <c r="G56" s="32">
        <v>0</v>
      </c>
      <c r="H56" s="32">
        <v>0</v>
      </c>
      <c r="I56" s="32">
        <v>0</v>
      </c>
      <c r="J56" s="32">
        <v>847.8</v>
      </c>
      <c r="K56" s="36" t="s">
        <v>85</v>
      </c>
      <c r="L56" s="17" t="s">
        <v>39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6</v>
      </c>
    </row>
    <row r="57" spans="1:18" ht="76.5" x14ac:dyDescent="0.25">
      <c r="A57" s="32" t="s">
        <v>86</v>
      </c>
      <c r="B57" s="25" t="s">
        <v>25</v>
      </c>
      <c r="C57" s="36" t="s">
        <v>26</v>
      </c>
      <c r="D57" s="32" t="s">
        <v>51</v>
      </c>
      <c r="E57" s="32">
        <f>F57+G57+H57+I57+J57</f>
        <v>154</v>
      </c>
      <c r="F57" s="32">
        <v>0</v>
      </c>
      <c r="G57" s="32">
        <v>0</v>
      </c>
      <c r="H57" s="32">
        <v>0</v>
      </c>
      <c r="I57" s="32">
        <v>0</v>
      </c>
      <c r="J57" s="32">
        <v>154</v>
      </c>
      <c r="K57" s="36" t="s">
        <v>87</v>
      </c>
      <c r="L57" s="39" t="s">
        <v>39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10</v>
      </c>
    </row>
    <row r="58" spans="1:18" ht="76.5" x14ac:dyDescent="0.25">
      <c r="A58" s="32" t="s">
        <v>88</v>
      </c>
      <c r="B58" s="25" t="s">
        <v>25</v>
      </c>
      <c r="C58" s="36" t="s">
        <v>26</v>
      </c>
      <c r="D58" s="32" t="s">
        <v>51</v>
      </c>
      <c r="E58" s="32">
        <f>E59+E60+E61+E62</f>
        <v>6270</v>
      </c>
      <c r="F58" s="32">
        <f t="shared" ref="F58:G58" si="26">F59+F60+F61+F62</f>
        <v>1223.2</v>
      </c>
      <c r="G58" s="32">
        <f t="shared" si="26"/>
        <v>532.20000000000005</v>
      </c>
      <c r="H58" s="32">
        <f>H59+H60+H61+H62</f>
        <v>354</v>
      </c>
      <c r="I58" s="32">
        <f t="shared" ref="I58:J58" si="27">I59+I60+I61+I62</f>
        <v>325.7</v>
      </c>
      <c r="J58" s="32">
        <f t="shared" si="27"/>
        <v>3834.9</v>
      </c>
      <c r="K58" s="37" t="s">
        <v>89</v>
      </c>
      <c r="L58" s="40" t="s">
        <v>90</v>
      </c>
      <c r="M58" s="40">
        <v>18</v>
      </c>
      <c r="N58" s="40">
        <v>18</v>
      </c>
      <c r="O58" s="40">
        <v>18</v>
      </c>
      <c r="P58" s="40">
        <v>18</v>
      </c>
      <c r="Q58" s="40">
        <v>18</v>
      </c>
      <c r="R58" s="40">
        <v>18</v>
      </c>
    </row>
    <row r="59" spans="1:18" ht="76.5" x14ac:dyDescent="0.25">
      <c r="A59" s="32" t="s">
        <v>91</v>
      </c>
      <c r="B59" s="25" t="s">
        <v>25</v>
      </c>
      <c r="C59" s="36" t="s">
        <v>26</v>
      </c>
      <c r="D59" s="32" t="s">
        <v>51</v>
      </c>
      <c r="E59" s="32">
        <f>F59+G59+H59+I59+J59</f>
        <v>15.8</v>
      </c>
      <c r="F59" s="32">
        <v>0</v>
      </c>
      <c r="G59" s="32">
        <v>0</v>
      </c>
      <c r="H59" s="32">
        <v>0</v>
      </c>
      <c r="I59" s="32">
        <v>0</v>
      </c>
      <c r="J59" s="32">
        <v>15.8</v>
      </c>
      <c r="K59" s="36" t="s">
        <v>92</v>
      </c>
      <c r="L59" s="41" t="s">
        <v>47</v>
      </c>
      <c r="M59" s="41">
        <v>0</v>
      </c>
      <c r="N59" s="42">
        <v>0</v>
      </c>
      <c r="O59" s="42">
        <v>0</v>
      </c>
      <c r="P59" s="42">
        <v>0</v>
      </c>
      <c r="Q59" s="42">
        <v>0</v>
      </c>
      <c r="R59" s="42">
        <v>5</v>
      </c>
    </row>
    <row r="60" spans="1:18" ht="76.5" x14ac:dyDescent="0.25">
      <c r="A60" s="32" t="s">
        <v>93</v>
      </c>
      <c r="B60" s="25" t="s">
        <v>25</v>
      </c>
      <c r="C60" s="36" t="s">
        <v>26</v>
      </c>
      <c r="D60" s="32" t="s">
        <v>51</v>
      </c>
      <c r="E60" s="32">
        <f>F60+G60+H60+I60+J60</f>
        <v>4699.3999999999996</v>
      </c>
      <c r="F60" s="32">
        <f>1223.2-86.9-13.5</f>
        <v>1122.8</v>
      </c>
      <c r="G60" s="32">
        <v>532.20000000000005</v>
      </c>
      <c r="H60" s="32">
        <v>354</v>
      </c>
      <c r="I60" s="32">
        <v>325.7</v>
      </c>
      <c r="J60" s="32">
        <v>2364.6999999999998</v>
      </c>
      <c r="K60" s="36" t="s">
        <v>94</v>
      </c>
      <c r="L60" s="17" t="s">
        <v>47</v>
      </c>
      <c r="M60" s="17">
        <v>778</v>
      </c>
      <c r="N60" s="17">
        <v>778</v>
      </c>
      <c r="O60" s="17">
        <v>778</v>
      </c>
      <c r="P60" s="17">
        <v>778</v>
      </c>
      <c r="Q60" s="17">
        <v>778</v>
      </c>
      <c r="R60" s="17">
        <v>778</v>
      </c>
    </row>
    <row r="61" spans="1:18" ht="76.5" x14ac:dyDescent="0.25">
      <c r="A61" s="32" t="s">
        <v>95</v>
      </c>
      <c r="B61" s="25" t="s">
        <v>25</v>
      </c>
      <c r="C61" s="36" t="s">
        <v>26</v>
      </c>
      <c r="D61" s="32" t="s">
        <v>51</v>
      </c>
      <c r="E61" s="32">
        <f>F61+G61+H61+I61+J61</f>
        <v>870</v>
      </c>
      <c r="F61" s="32">
        <v>0</v>
      </c>
      <c r="G61" s="32">
        <v>0</v>
      </c>
      <c r="H61" s="32">
        <v>0</v>
      </c>
      <c r="I61" s="32">
        <v>0</v>
      </c>
      <c r="J61" s="32">
        <v>870</v>
      </c>
      <c r="K61" s="36" t="s">
        <v>96</v>
      </c>
      <c r="L61" s="17" t="s">
        <v>39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435</v>
      </c>
    </row>
    <row r="62" spans="1:18" ht="76.5" x14ac:dyDescent="0.25">
      <c r="A62" s="32" t="s">
        <v>97</v>
      </c>
      <c r="B62" s="25" t="s">
        <v>25</v>
      </c>
      <c r="C62" s="36" t="s">
        <v>26</v>
      </c>
      <c r="D62" s="32" t="s">
        <v>51</v>
      </c>
      <c r="E62" s="32">
        <f>F62+G62+H62+I62+J62</f>
        <v>684.8</v>
      </c>
      <c r="F62" s="32">
        <f>86.9+13.5</f>
        <v>100.4</v>
      </c>
      <c r="G62" s="32">
        <v>0</v>
      </c>
      <c r="H62" s="32">
        <v>0</v>
      </c>
      <c r="I62" s="32">
        <v>0</v>
      </c>
      <c r="J62" s="32">
        <v>584.4</v>
      </c>
      <c r="K62" s="36" t="s">
        <v>98</v>
      </c>
      <c r="L62" s="39" t="s">
        <v>39</v>
      </c>
      <c r="M62" s="39">
        <v>0</v>
      </c>
      <c r="N62" s="39">
        <v>9</v>
      </c>
      <c r="O62" s="39">
        <v>0</v>
      </c>
      <c r="P62" s="39">
        <v>0</v>
      </c>
      <c r="Q62" s="39">
        <v>0</v>
      </c>
      <c r="R62" s="39">
        <v>18</v>
      </c>
    </row>
    <row r="63" spans="1:18" ht="76.5" x14ac:dyDescent="0.25">
      <c r="A63" s="32" t="s">
        <v>99</v>
      </c>
      <c r="B63" s="25" t="s">
        <v>25</v>
      </c>
      <c r="C63" s="36" t="s">
        <v>26</v>
      </c>
      <c r="D63" s="32" t="s">
        <v>51</v>
      </c>
      <c r="E63" s="32">
        <f>E64+E65+E66+E67+E68+E69+E70+E71+E72+E73</f>
        <v>2854.3</v>
      </c>
      <c r="F63" s="32">
        <f t="shared" ref="F63:J63" si="28">F64+F65+F66+F67+F68+F69+F70+F71+F72+F73</f>
        <v>216</v>
      </c>
      <c r="G63" s="32">
        <f>G64+G65+G66+G67+G68+G69+G70+G71+G72+G73</f>
        <v>488.4</v>
      </c>
      <c r="H63" s="32">
        <f t="shared" si="28"/>
        <v>62.5</v>
      </c>
      <c r="I63" s="32">
        <f t="shared" si="28"/>
        <v>57.5</v>
      </c>
      <c r="J63" s="32">
        <f t="shared" si="28"/>
        <v>2029.9</v>
      </c>
      <c r="K63" s="37" t="s">
        <v>100</v>
      </c>
      <c r="L63" s="40" t="s">
        <v>90</v>
      </c>
      <c r="M63" s="40">
        <v>18</v>
      </c>
      <c r="N63" s="40">
        <v>18</v>
      </c>
      <c r="O63" s="40">
        <v>18</v>
      </c>
      <c r="P63" s="40">
        <v>18</v>
      </c>
      <c r="Q63" s="40">
        <v>18</v>
      </c>
      <c r="R63" s="40">
        <v>18</v>
      </c>
    </row>
    <row r="64" spans="1:18" ht="76.5" x14ac:dyDescent="0.25">
      <c r="A64" s="32" t="s">
        <v>101</v>
      </c>
      <c r="B64" s="25" t="s">
        <v>25</v>
      </c>
      <c r="C64" s="36" t="s">
        <v>26</v>
      </c>
      <c r="D64" s="32" t="s">
        <v>51</v>
      </c>
      <c r="E64" s="32">
        <f t="shared" ref="E64:E72" si="29">F64+G64+H64+I64+J64</f>
        <v>124</v>
      </c>
      <c r="F64" s="32">
        <v>0</v>
      </c>
      <c r="G64" s="32">
        <v>18.399999999999999</v>
      </c>
      <c r="H64" s="32">
        <v>0</v>
      </c>
      <c r="I64" s="32">
        <f t="shared" ref="I64:I66" si="30">ROUND(H64*1.043,1)</f>
        <v>0</v>
      </c>
      <c r="J64" s="32">
        <v>105.6</v>
      </c>
      <c r="K64" s="36" t="s">
        <v>102</v>
      </c>
      <c r="L64" s="41" t="s">
        <v>39</v>
      </c>
      <c r="M64" s="41">
        <v>18</v>
      </c>
      <c r="N64" s="41">
        <v>18</v>
      </c>
      <c r="O64" s="41">
        <v>0</v>
      </c>
      <c r="P64" s="41">
        <v>0</v>
      </c>
      <c r="Q64" s="41">
        <v>0</v>
      </c>
      <c r="R64" s="41">
        <v>18</v>
      </c>
    </row>
    <row r="65" spans="1:18" ht="76.5" x14ac:dyDescent="0.25">
      <c r="A65" s="32" t="s">
        <v>103</v>
      </c>
      <c r="B65" s="25" t="s">
        <v>25</v>
      </c>
      <c r="C65" s="36" t="s">
        <v>26</v>
      </c>
      <c r="D65" s="32" t="s">
        <v>51</v>
      </c>
      <c r="E65" s="32">
        <f t="shared" si="29"/>
        <v>103.89999999999999</v>
      </c>
      <c r="F65" s="32">
        <v>3.9</v>
      </c>
      <c r="G65" s="32">
        <v>18.399999999999999</v>
      </c>
      <c r="H65" s="32">
        <v>0</v>
      </c>
      <c r="I65" s="32">
        <f t="shared" si="30"/>
        <v>0</v>
      </c>
      <c r="J65" s="32">
        <v>81.599999999999994</v>
      </c>
      <c r="K65" s="36" t="s">
        <v>104</v>
      </c>
      <c r="L65" s="17" t="s">
        <v>39</v>
      </c>
      <c r="M65" s="17">
        <v>18</v>
      </c>
      <c r="N65" s="17">
        <v>1</v>
      </c>
      <c r="O65" s="17">
        <v>0</v>
      </c>
      <c r="P65" s="17">
        <v>0</v>
      </c>
      <c r="Q65" s="17">
        <v>0</v>
      </c>
      <c r="R65" s="17">
        <v>18</v>
      </c>
    </row>
    <row r="66" spans="1:18" ht="76.5" x14ac:dyDescent="0.25">
      <c r="A66" s="32" t="s">
        <v>105</v>
      </c>
      <c r="B66" s="25" t="s">
        <v>25</v>
      </c>
      <c r="C66" s="36" t="s">
        <v>26</v>
      </c>
      <c r="D66" s="32" t="s">
        <v>51</v>
      </c>
      <c r="E66" s="32">
        <f t="shared" si="29"/>
        <v>308.39999999999998</v>
      </c>
      <c r="F66" s="32">
        <v>0</v>
      </c>
      <c r="G66" s="32">
        <v>180</v>
      </c>
      <c r="H66" s="32">
        <v>0</v>
      </c>
      <c r="I66" s="32">
        <f t="shared" si="30"/>
        <v>0</v>
      </c>
      <c r="J66" s="32">
        <v>128.4</v>
      </c>
      <c r="K66" s="36" t="s">
        <v>106</v>
      </c>
      <c r="L66" s="17" t="s">
        <v>39</v>
      </c>
      <c r="M66" s="17">
        <v>18</v>
      </c>
      <c r="N66" s="17">
        <v>0</v>
      </c>
      <c r="O66" s="17">
        <v>0</v>
      </c>
      <c r="P66" s="17">
        <v>0</v>
      </c>
      <c r="Q66" s="17">
        <v>0</v>
      </c>
      <c r="R66" s="17">
        <v>18</v>
      </c>
    </row>
    <row r="67" spans="1:18" ht="76.5" x14ac:dyDescent="0.25">
      <c r="A67" s="32" t="s">
        <v>107</v>
      </c>
      <c r="B67" s="25" t="s">
        <v>25</v>
      </c>
      <c r="C67" s="36" t="s">
        <v>26</v>
      </c>
      <c r="D67" s="32" t="s">
        <v>51</v>
      </c>
      <c r="E67" s="32">
        <f t="shared" si="29"/>
        <v>221.8</v>
      </c>
      <c r="F67" s="32">
        <v>0</v>
      </c>
      <c r="G67" s="32">
        <v>0</v>
      </c>
      <c r="H67" s="32">
        <v>0</v>
      </c>
      <c r="I67" s="32">
        <v>0</v>
      </c>
      <c r="J67" s="32">
        <v>221.8</v>
      </c>
      <c r="K67" s="36" t="s">
        <v>108</v>
      </c>
      <c r="L67" s="17" t="s">
        <v>39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1</v>
      </c>
    </row>
    <row r="68" spans="1:18" ht="76.5" x14ac:dyDescent="0.25">
      <c r="A68" s="32" t="s">
        <v>109</v>
      </c>
      <c r="B68" s="25" t="s">
        <v>25</v>
      </c>
      <c r="C68" s="36" t="s">
        <v>26</v>
      </c>
      <c r="D68" s="32" t="s">
        <v>51</v>
      </c>
      <c r="E68" s="32">
        <f t="shared" si="29"/>
        <v>186</v>
      </c>
      <c r="F68" s="32">
        <v>0</v>
      </c>
      <c r="G68" s="32">
        <v>0</v>
      </c>
      <c r="H68" s="32">
        <v>0</v>
      </c>
      <c r="I68" s="32">
        <v>0</v>
      </c>
      <c r="J68" s="32">
        <v>186</v>
      </c>
      <c r="K68" s="36" t="s">
        <v>110</v>
      </c>
      <c r="L68" s="17" t="s">
        <v>39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18</v>
      </c>
    </row>
    <row r="69" spans="1:18" ht="76.5" x14ac:dyDescent="0.25">
      <c r="A69" s="32" t="s">
        <v>111</v>
      </c>
      <c r="B69" s="25" t="s">
        <v>25</v>
      </c>
      <c r="C69" s="36" t="s">
        <v>26</v>
      </c>
      <c r="D69" s="32" t="s">
        <v>51</v>
      </c>
      <c r="E69" s="32">
        <f t="shared" si="29"/>
        <v>186</v>
      </c>
      <c r="F69" s="32">
        <v>0</v>
      </c>
      <c r="G69" s="32">
        <v>0</v>
      </c>
      <c r="H69" s="32">
        <v>0</v>
      </c>
      <c r="I69" s="32">
        <v>0</v>
      </c>
      <c r="J69" s="32">
        <v>186</v>
      </c>
      <c r="K69" s="36" t="s">
        <v>112</v>
      </c>
      <c r="L69" s="17" t="s">
        <v>39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18</v>
      </c>
    </row>
    <row r="70" spans="1:18" ht="76.5" x14ac:dyDescent="0.25">
      <c r="A70" s="32" t="s">
        <v>113</v>
      </c>
      <c r="B70" s="25" t="s">
        <v>25</v>
      </c>
      <c r="C70" s="36" t="s">
        <v>26</v>
      </c>
      <c r="D70" s="32" t="s">
        <v>51</v>
      </c>
      <c r="E70" s="32">
        <f t="shared" si="29"/>
        <v>114.5</v>
      </c>
      <c r="F70" s="32">
        <v>0</v>
      </c>
      <c r="G70" s="32">
        <v>25.5</v>
      </c>
      <c r="H70" s="32">
        <v>0</v>
      </c>
      <c r="I70" s="32">
        <v>0</v>
      </c>
      <c r="J70" s="32">
        <v>89</v>
      </c>
      <c r="K70" s="36" t="s">
        <v>114</v>
      </c>
      <c r="L70" s="17" t="s">
        <v>115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6</v>
      </c>
    </row>
    <row r="71" spans="1:18" ht="76.5" x14ac:dyDescent="0.25">
      <c r="A71" s="32" t="s">
        <v>116</v>
      </c>
      <c r="B71" s="25" t="s">
        <v>25</v>
      </c>
      <c r="C71" s="36" t="s">
        <v>26</v>
      </c>
      <c r="D71" s="32" t="s">
        <v>51</v>
      </c>
      <c r="E71" s="32">
        <f t="shared" si="29"/>
        <v>1266.3000000000002</v>
      </c>
      <c r="F71" s="32">
        <f>216-3.9</f>
        <v>212.1</v>
      </c>
      <c r="G71" s="32">
        <f>62.5+183.6</f>
        <v>246.1</v>
      </c>
      <c r="H71" s="32">
        <v>62.5</v>
      </c>
      <c r="I71" s="32">
        <v>57.5</v>
      </c>
      <c r="J71" s="32">
        <v>688.1</v>
      </c>
      <c r="K71" s="36" t="s">
        <v>117</v>
      </c>
      <c r="L71" s="17" t="s">
        <v>115</v>
      </c>
      <c r="M71" s="17">
        <v>18</v>
      </c>
      <c r="N71" s="17">
        <v>18</v>
      </c>
      <c r="O71" s="17">
        <v>18</v>
      </c>
      <c r="P71" s="17">
        <v>18</v>
      </c>
      <c r="Q71" s="17">
        <v>18</v>
      </c>
      <c r="R71" s="17">
        <v>18</v>
      </c>
    </row>
    <row r="72" spans="1:18" ht="76.5" x14ac:dyDescent="0.25">
      <c r="A72" s="32" t="s">
        <v>118</v>
      </c>
      <c r="B72" s="25" t="s">
        <v>25</v>
      </c>
      <c r="C72" s="36" t="s">
        <v>26</v>
      </c>
      <c r="D72" s="32" t="s">
        <v>51</v>
      </c>
      <c r="E72" s="32">
        <f t="shared" si="29"/>
        <v>297.5</v>
      </c>
      <c r="F72" s="32">
        <v>0</v>
      </c>
      <c r="G72" s="32">
        <v>0</v>
      </c>
      <c r="H72" s="32">
        <v>0</v>
      </c>
      <c r="I72" s="32">
        <v>0</v>
      </c>
      <c r="J72" s="32">
        <v>297.5</v>
      </c>
      <c r="K72" s="36" t="s">
        <v>119</v>
      </c>
      <c r="L72" s="17" t="s">
        <v>115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18</v>
      </c>
    </row>
    <row r="73" spans="1:18" ht="76.5" x14ac:dyDescent="0.25">
      <c r="A73" s="32" t="s">
        <v>120</v>
      </c>
      <c r="B73" s="25" t="s">
        <v>25</v>
      </c>
      <c r="C73" s="36" t="s">
        <v>26</v>
      </c>
      <c r="D73" s="32" t="s">
        <v>51</v>
      </c>
      <c r="E73" s="32">
        <f>F73+G73+H73+I73+J73</f>
        <v>45.9</v>
      </c>
      <c r="F73" s="32">
        <v>0</v>
      </c>
      <c r="G73" s="32">
        <v>0</v>
      </c>
      <c r="H73" s="32">
        <v>0</v>
      </c>
      <c r="I73" s="32">
        <f>ROUND(H73*1.043,1)</f>
        <v>0</v>
      </c>
      <c r="J73" s="32">
        <v>45.9</v>
      </c>
      <c r="K73" s="36" t="s">
        <v>121</v>
      </c>
      <c r="L73" s="17" t="s">
        <v>47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14</v>
      </c>
    </row>
    <row r="74" spans="1:18" ht="76.5" x14ac:dyDescent="0.25">
      <c r="A74" s="32" t="s">
        <v>122</v>
      </c>
      <c r="B74" s="25" t="s">
        <v>25</v>
      </c>
      <c r="C74" s="36" t="s">
        <v>26</v>
      </c>
      <c r="D74" s="32" t="s">
        <v>51</v>
      </c>
      <c r="E74" s="32">
        <f>E75+E76+E77</f>
        <v>1492.1</v>
      </c>
      <c r="F74" s="32">
        <f>F75+F76+F77</f>
        <v>0</v>
      </c>
      <c r="G74" s="32">
        <f t="shared" ref="G74:J74" si="31">G75+G76+G77</f>
        <v>0</v>
      </c>
      <c r="H74" s="32">
        <f t="shared" si="31"/>
        <v>0</v>
      </c>
      <c r="I74" s="32">
        <f t="shared" si="31"/>
        <v>0</v>
      </c>
      <c r="J74" s="32">
        <f t="shared" si="31"/>
        <v>1492.1</v>
      </c>
      <c r="K74" s="37" t="s">
        <v>123</v>
      </c>
      <c r="L74" s="17" t="s">
        <v>33</v>
      </c>
      <c r="M74" s="17">
        <v>100</v>
      </c>
      <c r="N74" s="17">
        <v>0</v>
      </c>
      <c r="O74" s="17">
        <v>0</v>
      </c>
      <c r="P74" s="17">
        <v>0</v>
      </c>
      <c r="Q74" s="17">
        <v>0</v>
      </c>
      <c r="R74" s="17">
        <v>100</v>
      </c>
    </row>
    <row r="75" spans="1:18" ht="76.5" x14ac:dyDescent="0.25">
      <c r="A75" s="32" t="s">
        <v>124</v>
      </c>
      <c r="B75" s="25" t="s">
        <v>25</v>
      </c>
      <c r="C75" s="36" t="s">
        <v>26</v>
      </c>
      <c r="D75" s="32" t="s">
        <v>51</v>
      </c>
      <c r="E75" s="32">
        <f>F75+G75+H75+I75+J75</f>
        <v>918.2</v>
      </c>
      <c r="F75" s="32">
        <v>0</v>
      </c>
      <c r="G75" s="32">
        <v>0</v>
      </c>
      <c r="H75" s="32">
        <v>0</v>
      </c>
      <c r="I75" s="32">
        <f>ROUND(H75*1.043,1)</f>
        <v>0</v>
      </c>
      <c r="J75" s="32">
        <v>918.2</v>
      </c>
      <c r="K75" s="36" t="s">
        <v>125</v>
      </c>
      <c r="L75" s="17" t="s">
        <v>39</v>
      </c>
      <c r="M75" s="17">
        <v>18</v>
      </c>
      <c r="N75" s="30">
        <v>0</v>
      </c>
      <c r="O75" s="30">
        <v>0</v>
      </c>
      <c r="P75" s="30">
        <v>0</v>
      </c>
      <c r="Q75" s="30">
        <v>0</v>
      </c>
      <c r="R75" s="30">
        <v>18</v>
      </c>
    </row>
    <row r="76" spans="1:18" ht="76.5" hidden="1" x14ac:dyDescent="0.25">
      <c r="A76" s="32" t="s">
        <v>126</v>
      </c>
      <c r="B76" s="25" t="s">
        <v>25</v>
      </c>
      <c r="C76" s="36" t="s">
        <v>26</v>
      </c>
      <c r="D76" s="32" t="s">
        <v>51</v>
      </c>
      <c r="E76" s="32">
        <f t="shared" ref="E76:E77" si="32">F76+G76+H76+I76+J76</f>
        <v>0</v>
      </c>
      <c r="F76" s="32">
        <v>0</v>
      </c>
      <c r="G76" s="32">
        <v>0</v>
      </c>
      <c r="H76" s="32">
        <v>0</v>
      </c>
      <c r="I76" s="32">
        <v>0</v>
      </c>
      <c r="J76" s="43">
        <v>0</v>
      </c>
      <c r="K76" s="36" t="s">
        <v>127</v>
      </c>
      <c r="L76" s="17" t="s">
        <v>115</v>
      </c>
      <c r="M76" s="17">
        <v>0</v>
      </c>
      <c r="N76" s="30">
        <v>0</v>
      </c>
      <c r="O76" s="30">
        <v>1</v>
      </c>
      <c r="P76" s="30">
        <v>0</v>
      </c>
      <c r="Q76" s="30">
        <v>0</v>
      </c>
      <c r="R76" s="30">
        <v>0</v>
      </c>
    </row>
    <row r="77" spans="1:18" ht="76.5" x14ac:dyDescent="0.25">
      <c r="A77" s="32" t="s">
        <v>128</v>
      </c>
      <c r="B77" s="25" t="s">
        <v>25</v>
      </c>
      <c r="C77" s="36" t="s">
        <v>26</v>
      </c>
      <c r="D77" s="32" t="s">
        <v>51</v>
      </c>
      <c r="E77" s="32">
        <f t="shared" si="32"/>
        <v>573.9</v>
      </c>
      <c r="F77" s="32">
        <v>0</v>
      </c>
      <c r="G77" s="32">
        <v>0</v>
      </c>
      <c r="H77" s="32">
        <v>0</v>
      </c>
      <c r="I77" s="32">
        <f>ROUND(H77*1.043,1)</f>
        <v>0</v>
      </c>
      <c r="J77" s="32">
        <v>573.9</v>
      </c>
      <c r="K77" s="36" t="s">
        <v>129</v>
      </c>
      <c r="L77" s="17" t="s">
        <v>39</v>
      </c>
      <c r="M77" s="17">
        <v>0</v>
      </c>
      <c r="N77" s="30">
        <v>0</v>
      </c>
      <c r="O77" s="30">
        <v>0</v>
      </c>
      <c r="P77" s="30">
        <v>0</v>
      </c>
      <c r="Q77" s="30">
        <v>0</v>
      </c>
      <c r="R77" s="30">
        <v>2</v>
      </c>
    </row>
    <row r="78" spans="1:18" ht="76.5" x14ac:dyDescent="0.25">
      <c r="A78" s="32" t="s">
        <v>130</v>
      </c>
      <c r="B78" s="25" t="s">
        <v>25</v>
      </c>
      <c r="C78" s="36" t="s">
        <v>26</v>
      </c>
      <c r="D78" s="32" t="s">
        <v>51</v>
      </c>
      <c r="E78" s="32">
        <f>E79</f>
        <v>1379.7</v>
      </c>
      <c r="F78" s="32">
        <f t="shared" ref="F78:J78" si="33">F79</f>
        <v>0</v>
      </c>
      <c r="G78" s="32">
        <f t="shared" si="33"/>
        <v>0</v>
      </c>
      <c r="H78" s="32">
        <f t="shared" si="33"/>
        <v>0</v>
      </c>
      <c r="I78" s="32">
        <f t="shared" si="33"/>
        <v>0</v>
      </c>
      <c r="J78" s="32">
        <f t="shared" si="33"/>
        <v>1379.7</v>
      </c>
      <c r="K78" s="37" t="s">
        <v>131</v>
      </c>
      <c r="L78" s="17" t="s">
        <v>33</v>
      </c>
      <c r="M78" s="17">
        <v>100</v>
      </c>
      <c r="N78" s="30">
        <v>0</v>
      </c>
      <c r="O78" s="30">
        <v>0</v>
      </c>
      <c r="P78" s="30">
        <v>0</v>
      </c>
      <c r="Q78" s="30">
        <v>0</v>
      </c>
      <c r="R78" s="30">
        <v>100</v>
      </c>
    </row>
    <row r="79" spans="1:18" ht="76.5" x14ac:dyDescent="0.25">
      <c r="A79" s="32" t="s">
        <v>132</v>
      </c>
      <c r="B79" s="25" t="s">
        <v>25</v>
      </c>
      <c r="C79" s="36" t="s">
        <v>26</v>
      </c>
      <c r="D79" s="32" t="s">
        <v>51</v>
      </c>
      <c r="E79" s="32">
        <f>F79+G79+H79+I79+J79</f>
        <v>1379.7</v>
      </c>
      <c r="F79" s="32">
        <v>0</v>
      </c>
      <c r="G79" s="32">
        <v>0</v>
      </c>
      <c r="H79" s="32">
        <v>0</v>
      </c>
      <c r="I79" s="32">
        <f>ROUND(H79*1.043,1)</f>
        <v>0</v>
      </c>
      <c r="J79" s="32">
        <v>1379.7</v>
      </c>
      <c r="K79" s="36" t="s">
        <v>133</v>
      </c>
      <c r="L79" s="39" t="s">
        <v>39</v>
      </c>
      <c r="M79" s="39">
        <v>18</v>
      </c>
      <c r="N79" s="44">
        <v>0</v>
      </c>
      <c r="O79" s="44">
        <v>0</v>
      </c>
      <c r="P79" s="44">
        <v>0</v>
      </c>
      <c r="Q79" s="44">
        <v>0</v>
      </c>
      <c r="R79" s="44">
        <v>4</v>
      </c>
    </row>
    <row r="80" spans="1:18" ht="76.5" x14ac:dyDescent="0.25">
      <c r="A80" s="32" t="s">
        <v>134</v>
      </c>
      <c r="B80" s="25" t="s">
        <v>25</v>
      </c>
      <c r="C80" s="36" t="s">
        <v>26</v>
      </c>
      <c r="D80" s="32" t="s">
        <v>51</v>
      </c>
      <c r="E80" s="32">
        <f>E81+E82+E83+E84+E85</f>
        <v>5574.5000000000009</v>
      </c>
      <c r="F80" s="32">
        <f t="shared" ref="F80:J80" si="34">F81+F82+F83+F84+F85</f>
        <v>1030.3</v>
      </c>
      <c r="G80" s="32">
        <f t="shared" si="34"/>
        <v>828</v>
      </c>
      <c r="H80" s="32">
        <f t="shared" si="34"/>
        <v>828</v>
      </c>
      <c r="I80" s="32">
        <f t="shared" si="34"/>
        <v>761.8</v>
      </c>
      <c r="J80" s="32">
        <f t="shared" si="34"/>
        <v>2126.4</v>
      </c>
      <c r="K80" s="37" t="s">
        <v>135</v>
      </c>
      <c r="L80" s="40" t="s">
        <v>90</v>
      </c>
      <c r="M80" s="40">
        <v>18</v>
      </c>
      <c r="N80" s="40">
        <v>18</v>
      </c>
      <c r="O80" s="40">
        <v>18</v>
      </c>
      <c r="P80" s="40">
        <v>18</v>
      </c>
      <c r="Q80" s="40">
        <v>18</v>
      </c>
      <c r="R80" s="40">
        <v>18</v>
      </c>
    </row>
    <row r="81" spans="1:18" ht="76.5" x14ac:dyDescent="0.25">
      <c r="A81" s="32" t="s">
        <v>136</v>
      </c>
      <c r="B81" s="25" t="s">
        <v>25</v>
      </c>
      <c r="C81" s="36" t="s">
        <v>26</v>
      </c>
      <c r="D81" s="32" t="s">
        <v>51</v>
      </c>
      <c r="E81" s="32">
        <f>F81+G81+H81+I81+J81</f>
        <v>3770.8</v>
      </c>
      <c r="F81" s="32">
        <v>648</v>
      </c>
      <c r="G81" s="32">
        <v>828</v>
      </c>
      <c r="H81" s="32">
        <f>G81</f>
        <v>828</v>
      </c>
      <c r="I81" s="32">
        <v>761.8</v>
      </c>
      <c r="J81" s="32">
        <v>705</v>
      </c>
      <c r="K81" s="36" t="s">
        <v>137</v>
      </c>
      <c r="L81" s="41" t="s">
        <v>39</v>
      </c>
      <c r="M81" s="41">
        <v>18</v>
      </c>
      <c r="N81" s="42">
        <v>18</v>
      </c>
      <c r="O81" s="42">
        <v>18</v>
      </c>
      <c r="P81" s="42">
        <v>18</v>
      </c>
      <c r="Q81" s="42">
        <v>18</v>
      </c>
      <c r="R81" s="42">
        <v>18</v>
      </c>
    </row>
    <row r="82" spans="1:18" ht="76.5" x14ac:dyDescent="0.25">
      <c r="A82" s="32" t="s">
        <v>138</v>
      </c>
      <c r="B82" s="25" t="s">
        <v>25</v>
      </c>
      <c r="C82" s="36" t="s">
        <v>26</v>
      </c>
      <c r="D82" s="32" t="s">
        <v>51</v>
      </c>
      <c r="E82" s="32">
        <f>F82+G82+H82+I82+J82</f>
        <v>238.9</v>
      </c>
      <c r="F82" s="32">
        <v>51</v>
      </c>
      <c r="G82" s="32">
        <v>0</v>
      </c>
      <c r="H82" s="32">
        <v>0</v>
      </c>
      <c r="I82" s="32">
        <f t="shared" ref="I82:I85" si="35">ROUND(H82*1.043,1)</f>
        <v>0</v>
      </c>
      <c r="J82" s="32">
        <v>187.9</v>
      </c>
      <c r="K82" s="36" t="s">
        <v>139</v>
      </c>
      <c r="L82" s="17" t="s">
        <v>39</v>
      </c>
      <c r="M82" s="17">
        <v>18</v>
      </c>
      <c r="N82" s="30">
        <v>18</v>
      </c>
      <c r="O82" s="30">
        <v>0</v>
      </c>
      <c r="P82" s="30">
        <v>0</v>
      </c>
      <c r="Q82" s="30">
        <v>0</v>
      </c>
      <c r="R82" s="30">
        <v>18</v>
      </c>
    </row>
    <row r="83" spans="1:18" ht="76.5" x14ac:dyDescent="0.25">
      <c r="A83" s="32" t="s">
        <v>140</v>
      </c>
      <c r="B83" s="25" t="s">
        <v>25</v>
      </c>
      <c r="C83" s="36" t="s">
        <v>26</v>
      </c>
      <c r="D83" s="32" t="s">
        <v>51</v>
      </c>
      <c r="E83" s="32">
        <f>F83+G83+H83+I83+J83</f>
        <v>999.4</v>
      </c>
      <c r="F83" s="32">
        <v>57.6</v>
      </c>
      <c r="G83" s="32">
        <v>0</v>
      </c>
      <c r="H83" s="32">
        <v>0</v>
      </c>
      <c r="I83" s="32">
        <f t="shared" si="35"/>
        <v>0</v>
      </c>
      <c r="J83" s="32">
        <v>941.8</v>
      </c>
      <c r="K83" s="36" t="s">
        <v>141</v>
      </c>
      <c r="L83" s="17" t="s">
        <v>115</v>
      </c>
      <c r="M83" s="17">
        <v>18</v>
      </c>
      <c r="N83" s="30">
        <v>18</v>
      </c>
      <c r="O83" s="30">
        <v>0</v>
      </c>
      <c r="P83" s="30">
        <v>0</v>
      </c>
      <c r="Q83" s="30">
        <v>0</v>
      </c>
      <c r="R83" s="30">
        <v>18</v>
      </c>
    </row>
    <row r="84" spans="1:18" ht="76.5" x14ac:dyDescent="0.25">
      <c r="A84" s="32" t="s">
        <v>142</v>
      </c>
      <c r="B84" s="25" t="s">
        <v>25</v>
      </c>
      <c r="C84" s="36" t="s">
        <v>26</v>
      </c>
      <c r="D84" s="32" t="s">
        <v>51</v>
      </c>
      <c r="E84" s="32">
        <f>F84+G84+H84+I84+J84</f>
        <v>166.8</v>
      </c>
      <c r="F84" s="32">
        <v>49.4</v>
      </c>
      <c r="G84" s="32">
        <v>0</v>
      </c>
      <c r="H84" s="32">
        <v>0</v>
      </c>
      <c r="I84" s="32">
        <f t="shared" si="35"/>
        <v>0</v>
      </c>
      <c r="J84" s="32">
        <v>117.4</v>
      </c>
      <c r="K84" s="36" t="s">
        <v>143</v>
      </c>
      <c r="L84" s="17" t="s">
        <v>115</v>
      </c>
      <c r="M84" s="17">
        <v>18</v>
      </c>
      <c r="N84" s="17">
        <v>18</v>
      </c>
      <c r="O84" s="17">
        <v>0</v>
      </c>
      <c r="P84" s="17">
        <v>0</v>
      </c>
      <c r="Q84" s="17">
        <v>0</v>
      </c>
      <c r="R84" s="30">
        <v>18</v>
      </c>
    </row>
    <row r="85" spans="1:18" ht="76.5" x14ac:dyDescent="0.25">
      <c r="A85" s="32" t="s">
        <v>144</v>
      </c>
      <c r="B85" s="25" t="s">
        <v>25</v>
      </c>
      <c r="C85" s="36" t="s">
        <v>26</v>
      </c>
      <c r="D85" s="32" t="s">
        <v>51</v>
      </c>
      <c r="E85" s="32">
        <f>F85+G85+H85+I85+J85</f>
        <v>398.6</v>
      </c>
      <c r="F85" s="32">
        <v>224.3</v>
      </c>
      <c r="G85" s="32">
        <v>0</v>
      </c>
      <c r="H85" s="32">
        <v>0</v>
      </c>
      <c r="I85" s="32">
        <f t="shared" si="35"/>
        <v>0</v>
      </c>
      <c r="J85" s="32">
        <v>174.3</v>
      </c>
      <c r="K85" s="36" t="s">
        <v>145</v>
      </c>
      <c r="L85" s="17" t="s">
        <v>115</v>
      </c>
      <c r="M85" s="17">
        <v>18</v>
      </c>
      <c r="N85" s="17">
        <v>18</v>
      </c>
      <c r="O85" s="17">
        <v>0</v>
      </c>
      <c r="P85" s="17">
        <v>0</v>
      </c>
      <c r="Q85" s="30">
        <v>0</v>
      </c>
      <c r="R85" s="30">
        <v>18</v>
      </c>
    </row>
    <row r="86" spans="1:18" x14ac:dyDescent="0.25">
      <c r="A86" s="109" t="s">
        <v>146</v>
      </c>
      <c r="B86" s="92" t="s">
        <v>25</v>
      </c>
      <c r="C86" s="99"/>
      <c r="D86" s="22" t="s">
        <v>31</v>
      </c>
      <c r="E86" s="45">
        <f>E87+E88</f>
        <v>1379830.7999999998</v>
      </c>
      <c r="F86" s="45">
        <f t="shared" ref="F86:J86" si="36">F87+F88</f>
        <v>332537.19999999995</v>
      </c>
      <c r="G86" s="45">
        <f t="shared" si="36"/>
        <v>337447.69999999995</v>
      </c>
      <c r="H86" s="45">
        <f t="shared" si="36"/>
        <v>212717.8</v>
      </c>
      <c r="I86" s="45">
        <f t="shared" si="36"/>
        <v>207749.90000000002</v>
      </c>
      <c r="J86" s="45">
        <f t="shared" si="36"/>
        <v>289378.2</v>
      </c>
      <c r="K86" s="33"/>
      <c r="L86" s="17"/>
      <c r="M86" s="17"/>
      <c r="N86" s="30"/>
      <c r="O86" s="30"/>
      <c r="P86" s="30"/>
      <c r="Q86" s="30"/>
      <c r="R86" s="30"/>
    </row>
    <row r="87" spans="1:18" ht="60" x14ac:dyDescent="0.25">
      <c r="A87" s="114"/>
      <c r="B87" s="97"/>
      <c r="C87" s="100"/>
      <c r="D87" s="32" t="s">
        <v>51</v>
      </c>
      <c r="E87" s="31">
        <f>E90+E103</f>
        <v>400350.4</v>
      </c>
      <c r="F87" s="31">
        <f>F90+F103</f>
        <v>71484.399999999994</v>
      </c>
      <c r="G87" s="31">
        <f t="shared" ref="F87:J88" si="37">G90+G103</f>
        <v>70880.399999999994</v>
      </c>
      <c r="H87" s="31">
        <f t="shared" si="37"/>
        <v>62097.7</v>
      </c>
      <c r="I87" s="31">
        <f>I90+I103</f>
        <v>57129.8</v>
      </c>
      <c r="J87" s="31">
        <f t="shared" si="37"/>
        <v>138758.1</v>
      </c>
      <c r="K87" s="46"/>
      <c r="L87" s="30"/>
      <c r="M87" s="30"/>
      <c r="N87" s="30"/>
      <c r="O87" s="30"/>
      <c r="P87" s="30"/>
      <c r="Q87" s="30"/>
      <c r="R87" s="30"/>
    </row>
    <row r="88" spans="1:18" ht="45" x14ac:dyDescent="0.25">
      <c r="A88" s="115"/>
      <c r="B88" s="98"/>
      <c r="C88" s="101"/>
      <c r="D88" s="32" t="s">
        <v>29</v>
      </c>
      <c r="E88" s="31">
        <f>E91+E104</f>
        <v>979480.39999999991</v>
      </c>
      <c r="F88" s="31">
        <f t="shared" si="37"/>
        <v>261052.79999999999</v>
      </c>
      <c r="G88" s="31">
        <f t="shared" si="37"/>
        <v>266567.3</v>
      </c>
      <c r="H88" s="31">
        <f t="shared" si="37"/>
        <v>150620.1</v>
      </c>
      <c r="I88" s="31">
        <f t="shared" si="37"/>
        <v>150620.1</v>
      </c>
      <c r="J88" s="31">
        <f t="shared" si="37"/>
        <v>150620.1</v>
      </c>
      <c r="K88" s="47"/>
      <c r="L88" s="30"/>
      <c r="M88" s="30"/>
      <c r="N88" s="30"/>
      <c r="O88" s="30"/>
      <c r="P88" s="30"/>
      <c r="Q88" s="30"/>
      <c r="R88" s="30"/>
    </row>
    <row r="89" spans="1:18" x14ac:dyDescent="0.25">
      <c r="A89" s="116" t="s">
        <v>147</v>
      </c>
      <c r="B89" s="96" t="s">
        <v>25</v>
      </c>
      <c r="C89" s="99" t="s">
        <v>26</v>
      </c>
      <c r="D89" s="22" t="s">
        <v>31</v>
      </c>
      <c r="E89" s="31">
        <f>E90+E91</f>
        <v>1323595.0999999999</v>
      </c>
      <c r="F89" s="31">
        <f t="shared" ref="F89:J89" si="38">F90+F91</f>
        <v>325782.39999999997</v>
      </c>
      <c r="G89" s="31">
        <f t="shared" si="38"/>
        <v>334601</v>
      </c>
      <c r="H89" s="31">
        <f t="shared" si="38"/>
        <v>210916.1</v>
      </c>
      <c r="I89" s="31">
        <f t="shared" si="38"/>
        <v>206092.40000000002</v>
      </c>
      <c r="J89" s="31">
        <f t="shared" si="38"/>
        <v>246203.2</v>
      </c>
      <c r="K89" s="99" t="s">
        <v>148</v>
      </c>
      <c r="L89" s="30"/>
      <c r="M89" s="30"/>
      <c r="N89" s="30"/>
      <c r="O89" s="30"/>
      <c r="P89" s="30"/>
      <c r="Q89" s="30"/>
      <c r="R89" s="30"/>
    </row>
    <row r="90" spans="1:18" ht="90.75" customHeight="1" x14ac:dyDescent="0.25">
      <c r="A90" s="117"/>
      <c r="B90" s="97"/>
      <c r="C90" s="100"/>
      <c r="D90" s="32" t="s">
        <v>51</v>
      </c>
      <c r="E90" s="31">
        <f>E93+E98</f>
        <v>344114.7</v>
      </c>
      <c r="F90" s="31">
        <f>F93+F98</f>
        <v>64729.599999999999</v>
      </c>
      <c r="G90" s="31">
        <f t="shared" ref="G90:J90" si="39">G93+G98</f>
        <v>68033.7</v>
      </c>
      <c r="H90" s="31">
        <f t="shared" si="39"/>
        <v>60296</v>
      </c>
      <c r="I90" s="31">
        <f t="shared" si="39"/>
        <v>55472.3</v>
      </c>
      <c r="J90" s="31">
        <f t="shared" si="39"/>
        <v>95583.1</v>
      </c>
      <c r="K90" s="119"/>
      <c r="L90" s="30" t="s">
        <v>33</v>
      </c>
      <c r="M90" s="30">
        <v>100</v>
      </c>
      <c r="N90" s="30">
        <v>100</v>
      </c>
      <c r="O90" s="30">
        <v>100</v>
      </c>
      <c r="P90" s="30">
        <v>100</v>
      </c>
      <c r="Q90" s="30">
        <v>100</v>
      </c>
      <c r="R90" s="30">
        <v>100</v>
      </c>
    </row>
    <row r="91" spans="1:18" ht="90.75" customHeight="1" x14ac:dyDescent="0.25">
      <c r="A91" s="118"/>
      <c r="B91" s="98"/>
      <c r="C91" s="101"/>
      <c r="D91" s="32" t="s">
        <v>29</v>
      </c>
      <c r="E91" s="31">
        <f>E94</f>
        <v>979480.39999999991</v>
      </c>
      <c r="F91" s="31">
        <f t="shared" ref="F91:J91" si="40">F94</f>
        <v>261052.79999999999</v>
      </c>
      <c r="G91" s="31">
        <f t="shared" si="40"/>
        <v>266567.3</v>
      </c>
      <c r="H91" s="31">
        <f t="shared" si="40"/>
        <v>150620.1</v>
      </c>
      <c r="I91" s="31">
        <f t="shared" si="40"/>
        <v>150620.1</v>
      </c>
      <c r="J91" s="31">
        <f t="shared" si="40"/>
        <v>150620.1</v>
      </c>
      <c r="K91" s="120"/>
      <c r="L91" s="30"/>
      <c r="M91" s="30"/>
      <c r="N91" s="30"/>
      <c r="O91" s="30"/>
      <c r="P91" s="30"/>
      <c r="Q91" s="30"/>
      <c r="R91" s="30"/>
    </row>
    <row r="92" spans="1:18" ht="40.5" customHeight="1" x14ac:dyDescent="0.25">
      <c r="A92" s="121" t="s">
        <v>149</v>
      </c>
      <c r="B92" s="96" t="s">
        <v>25</v>
      </c>
      <c r="C92" s="99" t="s">
        <v>26</v>
      </c>
      <c r="D92" s="22" t="s">
        <v>31</v>
      </c>
      <c r="E92" s="31">
        <f>E93+E94</f>
        <v>1171487.7</v>
      </c>
      <c r="F92" s="31">
        <f t="shared" ref="F92:J92" si="41">F93+F94</f>
        <v>302246.5</v>
      </c>
      <c r="G92" s="31">
        <f>G93+G94</f>
        <v>302834.8</v>
      </c>
      <c r="H92" s="31">
        <f t="shared" si="41"/>
        <v>179149.9</v>
      </c>
      <c r="I92" s="31">
        <f t="shared" si="41"/>
        <v>174296.90000000002</v>
      </c>
      <c r="J92" s="31">
        <f t="shared" si="41"/>
        <v>212959.6</v>
      </c>
      <c r="K92" s="99" t="s">
        <v>150</v>
      </c>
      <c r="L92" s="30"/>
      <c r="M92" s="30"/>
      <c r="N92" s="30"/>
      <c r="O92" s="30"/>
      <c r="P92" s="30"/>
      <c r="Q92" s="30"/>
      <c r="R92" s="30"/>
    </row>
    <row r="93" spans="1:18" ht="60" x14ac:dyDescent="0.25">
      <c r="A93" s="97"/>
      <c r="B93" s="97"/>
      <c r="C93" s="100"/>
      <c r="D93" s="32" t="s">
        <v>51</v>
      </c>
      <c r="E93" s="31">
        <f>E96</f>
        <v>192007.30000000002</v>
      </c>
      <c r="F93" s="31">
        <f>F96</f>
        <v>41193.699999999997</v>
      </c>
      <c r="G93" s="31">
        <f t="shared" ref="F93:J94" si="42">G96</f>
        <v>36267.5</v>
      </c>
      <c r="H93" s="31">
        <f t="shared" si="42"/>
        <v>28529.8</v>
      </c>
      <c r="I93" s="31">
        <f t="shared" si="42"/>
        <v>23676.800000000003</v>
      </c>
      <c r="J93" s="31">
        <f t="shared" si="42"/>
        <v>62339.500000000007</v>
      </c>
      <c r="K93" s="100"/>
      <c r="L93" s="17" t="s">
        <v>33</v>
      </c>
      <c r="M93" s="17">
        <v>100</v>
      </c>
      <c r="N93" s="17">
        <v>100</v>
      </c>
      <c r="O93" s="17">
        <v>100</v>
      </c>
      <c r="P93" s="17">
        <v>100</v>
      </c>
      <c r="Q93" s="17">
        <v>100</v>
      </c>
      <c r="R93" s="17">
        <v>100</v>
      </c>
    </row>
    <row r="94" spans="1:18" ht="45" x14ac:dyDescent="0.25">
      <c r="A94" s="98"/>
      <c r="B94" s="98"/>
      <c r="C94" s="101"/>
      <c r="D94" s="32" t="s">
        <v>29</v>
      </c>
      <c r="E94" s="31">
        <f>E97</f>
        <v>979480.39999999991</v>
      </c>
      <c r="F94" s="31">
        <f t="shared" si="42"/>
        <v>261052.79999999999</v>
      </c>
      <c r="G94" s="31">
        <f>G97</f>
        <v>266567.3</v>
      </c>
      <c r="H94" s="31">
        <f t="shared" si="42"/>
        <v>150620.1</v>
      </c>
      <c r="I94" s="31">
        <f t="shared" si="42"/>
        <v>150620.1</v>
      </c>
      <c r="J94" s="31">
        <f t="shared" si="42"/>
        <v>150620.1</v>
      </c>
      <c r="K94" s="101"/>
      <c r="L94" s="17"/>
      <c r="M94" s="17"/>
      <c r="N94" s="17"/>
      <c r="O94" s="17"/>
      <c r="P94" s="17"/>
      <c r="Q94" s="17"/>
      <c r="R94" s="17"/>
    </row>
    <row r="95" spans="1:18" x14ac:dyDescent="0.25">
      <c r="A95" s="96" t="s">
        <v>151</v>
      </c>
      <c r="B95" s="96" t="s">
        <v>25</v>
      </c>
      <c r="C95" s="99" t="s">
        <v>152</v>
      </c>
      <c r="D95" s="22" t="s">
        <v>31</v>
      </c>
      <c r="E95" s="31">
        <f>E96+E97</f>
        <v>1171487.7</v>
      </c>
      <c r="F95" s="31">
        <f t="shared" ref="F95:J95" si="43">F96+F97</f>
        <v>302246.5</v>
      </c>
      <c r="G95" s="31">
        <f t="shared" si="43"/>
        <v>302834.8</v>
      </c>
      <c r="H95" s="31">
        <f t="shared" si="43"/>
        <v>179149.9</v>
      </c>
      <c r="I95" s="31">
        <f t="shared" si="43"/>
        <v>174296.90000000002</v>
      </c>
      <c r="J95" s="31">
        <f t="shared" si="43"/>
        <v>212959.6</v>
      </c>
      <c r="K95" s="122" t="s">
        <v>153</v>
      </c>
      <c r="L95" s="17"/>
      <c r="M95" s="17"/>
      <c r="N95" s="17"/>
      <c r="O95" s="17"/>
      <c r="P95" s="17"/>
      <c r="Q95" s="17"/>
      <c r="R95" s="17"/>
    </row>
    <row r="96" spans="1:18" ht="60.75" customHeight="1" x14ac:dyDescent="0.25">
      <c r="A96" s="97"/>
      <c r="B96" s="97"/>
      <c r="C96" s="100"/>
      <c r="D96" s="32" t="s">
        <v>51</v>
      </c>
      <c r="E96" s="31">
        <f>F96+G96+H96+I96+J96</f>
        <v>192007.30000000002</v>
      </c>
      <c r="F96" s="31">
        <f>64729.6-F98</f>
        <v>41193.699999999997</v>
      </c>
      <c r="G96" s="31">
        <f>65705.2+2000+187.5+100+41-G98</f>
        <v>36267.5</v>
      </c>
      <c r="H96" s="31">
        <f>60296-H98</f>
        <v>28529.8</v>
      </c>
      <c r="I96" s="31">
        <f>55472.3-I98</f>
        <v>23676.800000000003</v>
      </c>
      <c r="J96" s="31">
        <f>95583.1-J98</f>
        <v>62339.500000000007</v>
      </c>
      <c r="K96" s="112"/>
      <c r="L96" s="17" t="s">
        <v>39</v>
      </c>
      <c r="M96" s="17">
        <v>7185</v>
      </c>
      <c r="N96" s="17">
        <v>7305</v>
      </c>
      <c r="O96" s="17">
        <v>7305</v>
      </c>
      <c r="P96" s="17">
        <v>7305</v>
      </c>
      <c r="Q96" s="17">
        <v>7305</v>
      </c>
      <c r="R96" s="17">
        <v>7305</v>
      </c>
    </row>
    <row r="97" spans="1:18" ht="60.75" customHeight="1" x14ac:dyDescent="0.25">
      <c r="A97" s="98"/>
      <c r="B97" s="98"/>
      <c r="C97" s="101"/>
      <c r="D97" s="32" t="s">
        <v>29</v>
      </c>
      <c r="E97" s="31">
        <f>F97+G97+H97+I97+J97</f>
        <v>979480.39999999991</v>
      </c>
      <c r="F97" s="31">
        <v>261052.79999999999</v>
      </c>
      <c r="G97" s="31">
        <f>259747.5+2296.6+4523.2</f>
        <v>266567.3</v>
      </c>
      <c r="H97" s="31">
        <v>150620.1</v>
      </c>
      <c r="I97" s="31">
        <v>150620.1</v>
      </c>
      <c r="J97" s="31">
        <v>150620.1</v>
      </c>
      <c r="K97" s="113"/>
      <c r="L97" s="39"/>
      <c r="M97" s="39"/>
      <c r="N97" s="39"/>
      <c r="O97" s="39"/>
      <c r="P97" s="39"/>
      <c r="Q97" s="39"/>
      <c r="R97" s="39"/>
    </row>
    <row r="98" spans="1:18" ht="75" customHeight="1" x14ac:dyDescent="0.25">
      <c r="A98" s="32" t="s">
        <v>154</v>
      </c>
      <c r="B98" s="25" t="s">
        <v>25</v>
      </c>
      <c r="C98" s="36" t="s">
        <v>26</v>
      </c>
      <c r="D98" s="32" t="s">
        <v>51</v>
      </c>
      <c r="E98" s="31">
        <f>E99+E100+E101</f>
        <v>152107.4</v>
      </c>
      <c r="F98" s="31">
        <f t="shared" ref="F98:J98" si="44">F99+F100+F101</f>
        <v>23535.9</v>
      </c>
      <c r="G98" s="31">
        <f t="shared" si="44"/>
        <v>31766.2</v>
      </c>
      <c r="H98" s="31">
        <f t="shared" si="44"/>
        <v>31766.2</v>
      </c>
      <c r="I98" s="31">
        <f t="shared" si="44"/>
        <v>31795.5</v>
      </c>
      <c r="J98" s="31">
        <f t="shared" si="44"/>
        <v>33243.599999999999</v>
      </c>
      <c r="K98" s="48" t="s">
        <v>155</v>
      </c>
      <c r="L98" s="40" t="s">
        <v>90</v>
      </c>
      <c r="M98" s="40">
        <v>25</v>
      </c>
      <c r="N98" s="40">
        <v>25</v>
      </c>
      <c r="O98" s="40">
        <v>25</v>
      </c>
      <c r="P98" s="40">
        <v>25</v>
      </c>
      <c r="Q98" s="40">
        <v>25</v>
      </c>
      <c r="R98" s="40">
        <v>25</v>
      </c>
    </row>
    <row r="99" spans="1:18" ht="60" x14ac:dyDescent="0.25">
      <c r="A99" s="32" t="s">
        <v>156</v>
      </c>
      <c r="B99" s="25" t="s">
        <v>25</v>
      </c>
      <c r="C99" s="36" t="s">
        <v>152</v>
      </c>
      <c r="D99" s="32" t="s">
        <v>51</v>
      </c>
      <c r="E99" s="31">
        <f>F99+G99+H99+I99+J99</f>
        <v>120.2</v>
      </c>
      <c r="F99" s="31">
        <v>0</v>
      </c>
      <c r="G99" s="31">
        <v>0</v>
      </c>
      <c r="H99" s="31">
        <f>G99</f>
        <v>0</v>
      </c>
      <c r="I99" s="31">
        <v>25</v>
      </c>
      <c r="J99" s="31">
        <v>95.2</v>
      </c>
      <c r="K99" s="36" t="s">
        <v>157</v>
      </c>
      <c r="L99" s="41" t="s">
        <v>39</v>
      </c>
      <c r="M99" s="41">
        <v>25</v>
      </c>
      <c r="N99" s="41">
        <v>25</v>
      </c>
      <c r="O99" s="41">
        <v>25</v>
      </c>
      <c r="P99" s="41">
        <v>25</v>
      </c>
      <c r="Q99" s="41">
        <v>25</v>
      </c>
      <c r="R99" s="41">
        <v>25</v>
      </c>
    </row>
    <row r="100" spans="1:18" ht="60" x14ac:dyDescent="0.25">
      <c r="A100" s="32" t="s">
        <v>158</v>
      </c>
      <c r="B100" s="25" t="s">
        <v>25</v>
      </c>
      <c r="C100" s="36" t="s">
        <v>152</v>
      </c>
      <c r="D100" s="32" t="s">
        <v>51</v>
      </c>
      <c r="E100" s="31">
        <f>F100+G100+H100+I100+J100</f>
        <v>20.6</v>
      </c>
      <c r="F100" s="31">
        <v>0</v>
      </c>
      <c r="G100" s="31">
        <v>0</v>
      </c>
      <c r="H100" s="31">
        <f>G100</f>
        <v>0</v>
      </c>
      <c r="I100" s="31">
        <v>4.3</v>
      </c>
      <c r="J100" s="31">
        <v>16.3</v>
      </c>
      <c r="K100" s="49" t="s">
        <v>159</v>
      </c>
      <c r="L100" s="17" t="s">
        <v>39</v>
      </c>
      <c r="M100" s="17">
        <v>2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</row>
    <row r="101" spans="1:18" ht="63.75" x14ac:dyDescent="0.25">
      <c r="A101" s="32" t="s">
        <v>160</v>
      </c>
      <c r="B101" s="25" t="s">
        <v>25</v>
      </c>
      <c r="C101" s="36" t="s">
        <v>152</v>
      </c>
      <c r="D101" s="32" t="s">
        <v>51</v>
      </c>
      <c r="E101" s="31">
        <f>F101+G101+H101+I101+J101</f>
        <v>151966.6</v>
      </c>
      <c r="F101" s="31">
        <v>23535.9</v>
      </c>
      <c r="G101" s="31">
        <f>25283.1+5409.2+2000-926.1</f>
        <v>31766.2</v>
      </c>
      <c r="H101" s="31">
        <f>G101</f>
        <v>31766.2</v>
      </c>
      <c r="I101" s="31">
        <f>H101</f>
        <v>31766.2</v>
      </c>
      <c r="J101" s="31">
        <f t="shared" ref="J101" si="45">ROUND(I101*1.043,1)</f>
        <v>33132.1</v>
      </c>
      <c r="K101" s="36" t="s">
        <v>161</v>
      </c>
      <c r="L101" s="17" t="s">
        <v>39</v>
      </c>
      <c r="M101" s="17">
        <v>25</v>
      </c>
      <c r="N101" s="17">
        <v>25</v>
      </c>
      <c r="O101" s="17">
        <v>25</v>
      </c>
      <c r="P101" s="17">
        <v>25</v>
      </c>
      <c r="Q101" s="17">
        <v>25</v>
      </c>
      <c r="R101" s="17">
        <v>25</v>
      </c>
    </row>
    <row r="102" spans="1:18" ht="15" customHeight="1" x14ac:dyDescent="0.25">
      <c r="A102" s="116" t="s">
        <v>162</v>
      </c>
      <c r="B102" s="32"/>
      <c r="C102" s="99" t="s">
        <v>152</v>
      </c>
      <c r="D102" s="22" t="s">
        <v>31</v>
      </c>
      <c r="E102" s="31">
        <f>E103+E104</f>
        <v>56235.700000000004</v>
      </c>
      <c r="F102" s="31">
        <f t="shared" ref="F102:J102" si="46">F103+F104</f>
        <v>6754.7999999999993</v>
      </c>
      <c r="G102" s="31">
        <f t="shared" si="46"/>
        <v>2846.7</v>
      </c>
      <c r="H102" s="31">
        <f t="shared" si="46"/>
        <v>1801.6999999999998</v>
      </c>
      <c r="I102" s="31">
        <f t="shared" si="46"/>
        <v>1657.5</v>
      </c>
      <c r="J102" s="31">
        <f t="shared" si="46"/>
        <v>43175</v>
      </c>
      <c r="K102" s="99" t="s">
        <v>163</v>
      </c>
      <c r="L102" s="17"/>
      <c r="M102" s="17"/>
      <c r="N102" s="17"/>
      <c r="O102" s="17"/>
      <c r="P102" s="17"/>
      <c r="Q102" s="17"/>
      <c r="R102" s="17"/>
    </row>
    <row r="103" spans="1:18" ht="60" x14ac:dyDescent="0.25">
      <c r="A103" s="117"/>
      <c r="B103" s="25" t="s">
        <v>25</v>
      </c>
      <c r="C103" s="100"/>
      <c r="D103" s="32" t="s">
        <v>51</v>
      </c>
      <c r="E103" s="31">
        <f t="shared" ref="E103:J103" si="47">E105+E113+E121+E130+E136+E147+E152+E154+E162</f>
        <v>56235.700000000004</v>
      </c>
      <c r="F103" s="31">
        <f>F105+F113+F121+F130+F136+F147+F152+F154+F162</f>
        <v>6754.7999999999993</v>
      </c>
      <c r="G103" s="31">
        <f t="shared" si="47"/>
        <v>2846.7</v>
      </c>
      <c r="H103" s="31">
        <f t="shared" si="47"/>
        <v>1801.6999999999998</v>
      </c>
      <c r="I103" s="31">
        <f t="shared" si="47"/>
        <v>1657.5</v>
      </c>
      <c r="J103" s="31">
        <f t="shared" si="47"/>
        <v>43175</v>
      </c>
      <c r="K103" s="100"/>
      <c r="L103" s="30" t="s">
        <v>39</v>
      </c>
      <c r="M103" s="30">
        <v>25</v>
      </c>
      <c r="N103" s="30">
        <v>25</v>
      </c>
      <c r="O103" s="30">
        <v>25</v>
      </c>
      <c r="P103" s="30">
        <v>25</v>
      </c>
      <c r="Q103" s="30">
        <v>25</v>
      </c>
      <c r="R103" s="30">
        <v>25</v>
      </c>
    </row>
    <row r="104" spans="1:18" ht="45" x14ac:dyDescent="0.25">
      <c r="A104" s="118"/>
      <c r="B104" s="32"/>
      <c r="C104" s="101"/>
      <c r="D104" s="32" t="s">
        <v>29</v>
      </c>
      <c r="E104" s="31">
        <f>E122</f>
        <v>0</v>
      </c>
      <c r="F104" s="31">
        <f t="shared" ref="F104:J104" si="48">F122</f>
        <v>0</v>
      </c>
      <c r="G104" s="31">
        <f t="shared" si="48"/>
        <v>0</v>
      </c>
      <c r="H104" s="31">
        <f t="shared" si="48"/>
        <v>0</v>
      </c>
      <c r="I104" s="31">
        <f t="shared" si="48"/>
        <v>0</v>
      </c>
      <c r="J104" s="31">
        <f t="shared" si="48"/>
        <v>0</v>
      </c>
      <c r="K104" s="101"/>
      <c r="L104" s="30"/>
      <c r="M104" s="30"/>
      <c r="N104" s="30"/>
      <c r="O104" s="30"/>
      <c r="P104" s="30"/>
      <c r="Q104" s="30"/>
      <c r="R104" s="30"/>
    </row>
    <row r="105" spans="1:18" ht="102" x14ac:dyDescent="0.25">
      <c r="A105" s="50" t="s">
        <v>164</v>
      </c>
      <c r="B105" s="25" t="s">
        <v>25</v>
      </c>
      <c r="C105" s="36" t="s">
        <v>152</v>
      </c>
      <c r="D105" s="32" t="s">
        <v>51</v>
      </c>
      <c r="E105" s="31">
        <f>E106+E107+E108+E109+E110+E111+E112</f>
        <v>18856.900000000001</v>
      </c>
      <c r="F105" s="31">
        <f t="shared" ref="F105:J105" si="49">F106+F107+F108+F109+F110+F111+F112</f>
        <v>881.59999999999991</v>
      </c>
      <c r="G105" s="31">
        <f>G106+G107+G108+G109+G110+G111+G112</f>
        <v>200</v>
      </c>
      <c r="H105" s="31">
        <f t="shared" si="49"/>
        <v>200</v>
      </c>
      <c r="I105" s="31">
        <f t="shared" si="49"/>
        <v>184</v>
      </c>
      <c r="J105" s="31">
        <f t="shared" si="49"/>
        <v>17391.3</v>
      </c>
      <c r="K105" s="36" t="s">
        <v>165</v>
      </c>
      <c r="L105" s="30" t="s">
        <v>39</v>
      </c>
      <c r="M105" s="30">
        <v>25</v>
      </c>
      <c r="N105" s="30">
        <v>25</v>
      </c>
      <c r="O105" s="30">
        <v>25</v>
      </c>
      <c r="P105" s="30">
        <v>25</v>
      </c>
      <c r="Q105" s="30">
        <v>25</v>
      </c>
      <c r="R105" s="30">
        <v>25</v>
      </c>
    </row>
    <row r="106" spans="1:18" ht="89.25" x14ac:dyDescent="0.25">
      <c r="A106" s="32" t="s">
        <v>166</v>
      </c>
      <c r="B106" s="25" t="s">
        <v>25</v>
      </c>
      <c r="C106" s="36" t="s">
        <v>152</v>
      </c>
      <c r="D106" s="32" t="s">
        <v>51</v>
      </c>
      <c r="E106" s="32">
        <f>F106+G106+H106+I106+J106</f>
        <v>3111.7</v>
      </c>
      <c r="F106" s="32">
        <v>0</v>
      </c>
      <c r="G106" s="32">
        <v>0</v>
      </c>
      <c r="H106" s="32">
        <v>0</v>
      </c>
      <c r="I106" s="32">
        <v>0</v>
      </c>
      <c r="J106" s="32">
        <f>892+2219.7</f>
        <v>3111.7</v>
      </c>
      <c r="K106" s="36" t="s">
        <v>167</v>
      </c>
      <c r="L106" s="17" t="s">
        <v>39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6</v>
      </c>
    </row>
    <row r="107" spans="1:18" ht="59.25" customHeight="1" x14ac:dyDescent="0.25">
      <c r="A107" s="32" t="s">
        <v>168</v>
      </c>
      <c r="B107" s="25" t="s">
        <v>25</v>
      </c>
      <c r="C107" s="36" t="s">
        <v>152</v>
      </c>
      <c r="D107" s="32" t="s">
        <v>51</v>
      </c>
      <c r="E107" s="32">
        <f t="shared" ref="E107:E112" si="50">F107+G107+H107+I107+J107</f>
        <v>2424.6</v>
      </c>
      <c r="F107" s="32">
        <f>1152.3-270.7</f>
        <v>881.59999999999991</v>
      </c>
      <c r="G107" s="32">
        <v>200</v>
      </c>
      <c r="H107" s="32">
        <f>G107</f>
        <v>200</v>
      </c>
      <c r="I107" s="32">
        <v>184</v>
      </c>
      <c r="J107" s="32">
        <v>959</v>
      </c>
      <c r="K107" s="36" t="s">
        <v>169</v>
      </c>
      <c r="L107" s="17" t="s">
        <v>39</v>
      </c>
      <c r="M107" s="17">
        <v>25</v>
      </c>
      <c r="N107" s="17">
        <v>4</v>
      </c>
      <c r="O107" s="17">
        <v>2</v>
      </c>
      <c r="P107" s="17">
        <v>2</v>
      </c>
      <c r="Q107" s="17">
        <v>2</v>
      </c>
      <c r="R107" s="17">
        <v>6</v>
      </c>
    </row>
    <row r="108" spans="1:18" ht="76.5" x14ac:dyDescent="0.25">
      <c r="A108" s="32" t="s">
        <v>170</v>
      </c>
      <c r="B108" s="25" t="s">
        <v>25</v>
      </c>
      <c r="C108" s="36" t="s">
        <v>152</v>
      </c>
      <c r="D108" s="32" t="s">
        <v>51</v>
      </c>
      <c r="E108" s="32">
        <f t="shared" si="50"/>
        <v>66.599999999999994</v>
      </c>
      <c r="F108" s="32">
        <v>0</v>
      </c>
      <c r="G108" s="32">
        <f>ROUND(G106*2.14/100,1)</f>
        <v>0</v>
      </c>
      <c r="H108" s="32">
        <f t="shared" ref="H108:J108" si="51">ROUND(H106*2.14/100,1)</f>
        <v>0</v>
      </c>
      <c r="I108" s="32">
        <f t="shared" si="51"/>
        <v>0</v>
      </c>
      <c r="J108" s="32">
        <f t="shared" si="51"/>
        <v>66.599999999999994</v>
      </c>
      <c r="K108" s="36" t="s">
        <v>171</v>
      </c>
      <c r="L108" s="17" t="s">
        <v>39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25</v>
      </c>
    </row>
    <row r="109" spans="1:18" ht="63.75" x14ac:dyDescent="0.25">
      <c r="A109" s="32" t="s">
        <v>172</v>
      </c>
      <c r="B109" s="25" t="s">
        <v>25</v>
      </c>
      <c r="C109" s="36" t="s">
        <v>152</v>
      </c>
      <c r="D109" s="32" t="s">
        <v>51</v>
      </c>
      <c r="E109" s="32">
        <f t="shared" si="50"/>
        <v>4000</v>
      </c>
      <c r="F109" s="32">
        <v>0</v>
      </c>
      <c r="G109" s="32">
        <v>0</v>
      </c>
      <c r="H109" s="32">
        <v>0</v>
      </c>
      <c r="I109" s="32">
        <v>0</v>
      </c>
      <c r="J109" s="32">
        <v>4000</v>
      </c>
      <c r="K109" s="36" t="s">
        <v>173</v>
      </c>
      <c r="L109" s="17" t="s">
        <v>39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8</v>
      </c>
    </row>
    <row r="110" spans="1:18" ht="63.75" x14ac:dyDescent="0.25">
      <c r="A110" s="32" t="s">
        <v>174</v>
      </c>
      <c r="B110" s="25" t="s">
        <v>25</v>
      </c>
      <c r="C110" s="36" t="s">
        <v>152</v>
      </c>
      <c r="D110" s="32" t="s">
        <v>51</v>
      </c>
      <c r="E110" s="32">
        <f t="shared" si="50"/>
        <v>5224</v>
      </c>
      <c r="F110" s="32">
        <v>0</v>
      </c>
      <c r="G110" s="32">
        <v>0</v>
      </c>
      <c r="H110" s="32">
        <v>0</v>
      </c>
      <c r="I110" s="32">
        <v>0</v>
      </c>
      <c r="J110" s="32">
        <v>5224</v>
      </c>
      <c r="K110" s="36" t="s">
        <v>175</v>
      </c>
      <c r="L110" s="17" t="s">
        <v>39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15</v>
      </c>
    </row>
    <row r="111" spans="1:18" ht="60" x14ac:dyDescent="0.25">
      <c r="A111" s="32" t="s">
        <v>176</v>
      </c>
      <c r="B111" s="25" t="s">
        <v>25</v>
      </c>
      <c r="C111" s="36" t="s">
        <v>152</v>
      </c>
      <c r="D111" s="32" t="s">
        <v>51</v>
      </c>
      <c r="E111" s="32">
        <f t="shared" si="50"/>
        <v>250</v>
      </c>
      <c r="F111" s="32">
        <v>0</v>
      </c>
      <c r="G111" s="32">
        <v>0</v>
      </c>
      <c r="H111" s="32">
        <v>0</v>
      </c>
      <c r="I111" s="32">
        <v>0</v>
      </c>
      <c r="J111" s="32">
        <v>250</v>
      </c>
      <c r="K111" s="36" t="s">
        <v>73</v>
      </c>
      <c r="L111" s="17" t="s">
        <v>39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5</v>
      </c>
    </row>
    <row r="112" spans="1:18" ht="63.75" x14ac:dyDescent="0.25">
      <c r="A112" s="32" t="s">
        <v>177</v>
      </c>
      <c r="B112" s="25" t="s">
        <v>25</v>
      </c>
      <c r="C112" s="36" t="s">
        <v>152</v>
      </c>
      <c r="D112" s="32" t="s">
        <v>51</v>
      </c>
      <c r="E112" s="32">
        <f t="shared" si="50"/>
        <v>3780</v>
      </c>
      <c r="F112" s="32">
        <v>0</v>
      </c>
      <c r="G112" s="32">
        <v>0</v>
      </c>
      <c r="H112" s="32">
        <v>0</v>
      </c>
      <c r="I112" s="32">
        <v>0</v>
      </c>
      <c r="J112" s="32">
        <v>3780</v>
      </c>
      <c r="K112" s="36" t="s">
        <v>178</v>
      </c>
      <c r="L112" s="17" t="s">
        <v>39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8</v>
      </c>
    </row>
    <row r="113" spans="1:18" ht="63.75" x14ac:dyDescent="0.25">
      <c r="A113" s="50" t="s">
        <v>179</v>
      </c>
      <c r="B113" s="25" t="s">
        <v>25</v>
      </c>
      <c r="C113" s="36" t="s">
        <v>152</v>
      </c>
      <c r="D113" s="32" t="s">
        <v>51</v>
      </c>
      <c r="E113" s="31">
        <f>E114+E115+E116+E117+E118+E119</f>
        <v>2976.6000000000004</v>
      </c>
      <c r="F113" s="31">
        <f t="shared" ref="F113:I113" si="52">F114+F115+F116+F117+F118+F119</f>
        <v>0</v>
      </c>
      <c r="G113" s="31">
        <f t="shared" si="52"/>
        <v>0</v>
      </c>
      <c r="H113" s="31">
        <f t="shared" si="52"/>
        <v>0</v>
      </c>
      <c r="I113" s="31">
        <f t="shared" si="52"/>
        <v>0</v>
      </c>
      <c r="J113" s="31">
        <f>J114+J115+J116+J117+J118+J119</f>
        <v>2976.6000000000004</v>
      </c>
      <c r="K113" s="36" t="s">
        <v>180</v>
      </c>
      <c r="L113" s="17" t="s">
        <v>33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100</v>
      </c>
    </row>
    <row r="114" spans="1:18" ht="63.75" x14ac:dyDescent="0.25">
      <c r="A114" s="32" t="s">
        <v>80</v>
      </c>
      <c r="B114" s="25" t="s">
        <v>25</v>
      </c>
      <c r="C114" s="36" t="s">
        <v>152</v>
      </c>
      <c r="D114" s="32" t="s">
        <v>51</v>
      </c>
      <c r="E114" s="31">
        <f>F114+G114+H114+I114+J114</f>
        <v>680.9</v>
      </c>
      <c r="F114" s="31">
        <v>0</v>
      </c>
      <c r="G114" s="31">
        <v>0</v>
      </c>
      <c r="H114" s="31">
        <v>0</v>
      </c>
      <c r="I114" s="31">
        <v>0</v>
      </c>
      <c r="J114" s="31">
        <v>680.9</v>
      </c>
      <c r="K114" s="36" t="s">
        <v>181</v>
      </c>
      <c r="L114" s="17" t="s">
        <v>39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5</v>
      </c>
    </row>
    <row r="115" spans="1:18" ht="60" x14ac:dyDescent="0.25">
      <c r="A115" s="32" t="s">
        <v>182</v>
      </c>
      <c r="B115" s="25" t="s">
        <v>25</v>
      </c>
      <c r="C115" s="36" t="s">
        <v>152</v>
      </c>
      <c r="D115" s="32" t="s">
        <v>51</v>
      </c>
      <c r="E115" s="31">
        <f t="shared" ref="E115:E119" si="53">F115+G115+H115+I115+J115</f>
        <v>1416.5</v>
      </c>
      <c r="F115" s="31">
        <v>0</v>
      </c>
      <c r="G115" s="31">
        <v>0</v>
      </c>
      <c r="H115" s="31">
        <v>0</v>
      </c>
      <c r="I115" s="31">
        <v>0</v>
      </c>
      <c r="J115" s="31">
        <v>1416.5</v>
      </c>
      <c r="K115" s="36" t="s">
        <v>183</v>
      </c>
      <c r="L115" s="17" t="s">
        <v>39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20</v>
      </c>
    </row>
    <row r="116" spans="1:18" ht="63.75" x14ac:dyDescent="0.25">
      <c r="A116" s="51" t="s">
        <v>184</v>
      </c>
      <c r="B116" s="25" t="s">
        <v>25</v>
      </c>
      <c r="C116" s="36" t="s">
        <v>152</v>
      </c>
      <c r="D116" s="32" t="s">
        <v>51</v>
      </c>
      <c r="E116" s="31">
        <f t="shared" si="53"/>
        <v>232</v>
      </c>
      <c r="F116" s="31">
        <v>0</v>
      </c>
      <c r="G116" s="31">
        <v>0</v>
      </c>
      <c r="H116" s="31">
        <v>0</v>
      </c>
      <c r="I116" s="31">
        <v>0</v>
      </c>
      <c r="J116" s="31">
        <v>232</v>
      </c>
      <c r="K116" s="36" t="s">
        <v>185</v>
      </c>
      <c r="L116" s="17" t="s">
        <v>39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15</v>
      </c>
    </row>
    <row r="117" spans="1:18" ht="63.75" x14ac:dyDescent="0.25">
      <c r="A117" s="51" t="s">
        <v>186</v>
      </c>
      <c r="B117" s="25" t="s">
        <v>25</v>
      </c>
      <c r="C117" s="36" t="s">
        <v>152</v>
      </c>
      <c r="D117" s="32" t="s">
        <v>51</v>
      </c>
      <c r="E117" s="31">
        <f t="shared" si="53"/>
        <v>59</v>
      </c>
      <c r="F117" s="31">
        <v>0</v>
      </c>
      <c r="G117" s="31">
        <v>0</v>
      </c>
      <c r="H117" s="31">
        <v>0</v>
      </c>
      <c r="I117" s="31">
        <v>0</v>
      </c>
      <c r="J117" s="31">
        <v>59</v>
      </c>
      <c r="K117" s="36" t="s">
        <v>187</v>
      </c>
      <c r="L117" s="17" t="s">
        <v>39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2</v>
      </c>
    </row>
    <row r="118" spans="1:18" ht="60" x14ac:dyDescent="0.25">
      <c r="A118" s="51" t="s">
        <v>188</v>
      </c>
      <c r="B118" s="25" t="s">
        <v>25</v>
      </c>
      <c r="C118" s="36" t="s">
        <v>152</v>
      </c>
      <c r="D118" s="32" t="s">
        <v>51</v>
      </c>
      <c r="E118" s="31">
        <f t="shared" si="53"/>
        <v>588.20000000000005</v>
      </c>
      <c r="F118" s="31">
        <v>0</v>
      </c>
      <c r="G118" s="31">
        <v>0</v>
      </c>
      <c r="H118" s="31">
        <f t="shared" ref="H118" si="54">ROUND(G118*1.048,1)</f>
        <v>0</v>
      </c>
      <c r="I118" s="31">
        <v>0</v>
      </c>
      <c r="J118" s="31">
        <v>588.20000000000005</v>
      </c>
      <c r="K118" s="36" t="s">
        <v>189</v>
      </c>
      <c r="L118" s="17" t="s">
        <v>39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12</v>
      </c>
    </row>
    <row r="119" spans="1:18" ht="76.5" hidden="1" x14ac:dyDescent="0.25">
      <c r="A119" s="51" t="s">
        <v>190</v>
      </c>
      <c r="B119" s="25" t="s">
        <v>25</v>
      </c>
      <c r="C119" s="36" t="s">
        <v>152</v>
      </c>
      <c r="D119" s="32" t="s">
        <v>51</v>
      </c>
      <c r="E119" s="31">
        <f t="shared" si="53"/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6" t="s">
        <v>191</v>
      </c>
      <c r="L119" s="17" t="s">
        <v>39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</row>
    <row r="120" spans="1:18" ht="15" customHeight="1" x14ac:dyDescent="0.25">
      <c r="A120" s="121" t="s">
        <v>192</v>
      </c>
      <c r="B120" s="32"/>
      <c r="C120" s="99" t="s">
        <v>152</v>
      </c>
      <c r="D120" s="32" t="s">
        <v>31</v>
      </c>
      <c r="E120" s="31">
        <f>E121+E122</f>
        <v>2837.6</v>
      </c>
      <c r="F120" s="31">
        <f t="shared" ref="F120:J120" si="55">F121+F122</f>
        <v>2837.6</v>
      </c>
      <c r="G120" s="31">
        <f t="shared" si="55"/>
        <v>0</v>
      </c>
      <c r="H120" s="31">
        <f t="shared" si="55"/>
        <v>0</v>
      </c>
      <c r="I120" s="31">
        <f t="shared" si="55"/>
        <v>0</v>
      </c>
      <c r="J120" s="31">
        <f t="shared" si="55"/>
        <v>0</v>
      </c>
      <c r="K120" s="99" t="s">
        <v>193</v>
      </c>
      <c r="L120" s="17"/>
      <c r="M120" s="17"/>
      <c r="N120" s="17"/>
      <c r="O120" s="17"/>
      <c r="P120" s="17"/>
      <c r="Q120" s="17"/>
      <c r="R120" s="17"/>
    </row>
    <row r="121" spans="1:18" ht="60" x14ac:dyDescent="0.25">
      <c r="A121" s="97"/>
      <c r="B121" s="25" t="s">
        <v>25</v>
      </c>
      <c r="C121" s="100"/>
      <c r="D121" s="32" t="s">
        <v>51</v>
      </c>
      <c r="E121" s="31">
        <f>E124+E126+E128</f>
        <v>2837.6</v>
      </c>
      <c r="F121" s="31">
        <f t="shared" ref="F121:J121" si="56">F124+F126+F128</f>
        <v>2837.6</v>
      </c>
      <c r="G121" s="31">
        <f t="shared" si="56"/>
        <v>0</v>
      </c>
      <c r="H121" s="31">
        <f t="shared" si="56"/>
        <v>0</v>
      </c>
      <c r="I121" s="31">
        <f t="shared" si="56"/>
        <v>0</v>
      </c>
      <c r="J121" s="31">
        <f t="shared" si="56"/>
        <v>0</v>
      </c>
      <c r="K121" s="100"/>
      <c r="L121" s="17" t="s">
        <v>39</v>
      </c>
      <c r="M121" s="17">
        <v>25</v>
      </c>
      <c r="N121" s="17">
        <v>25</v>
      </c>
      <c r="O121" s="17">
        <v>0</v>
      </c>
      <c r="P121" s="17">
        <v>0</v>
      </c>
      <c r="Q121" s="17">
        <v>0</v>
      </c>
      <c r="R121" s="17">
        <v>0</v>
      </c>
    </row>
    <row r="122" spans="1:18" ht="45" x14ac:dyDescent="0.25">
      <c r="A122" s="98"/>
      <c r="B122" s="32"/>
      <c r="C122" s="101"/>
      <c r="D122" s="32" t="s">
        <v>29</v>
      </c>
      <c r="E122" s="31">
        <f>E125+E129</f>
        <v>0</v>
      </c>
      <c r="F122" s="31">
        <f t="shared" ref="F122:J122" si="57">F125+F129</f>
        <v>0</v>
      </c>
      <c r="G122" s="31">
        <f t="shared" si="57"/>
        <v>0</v>
      </c>
      <c r="H122" s="31">
        <f t="shared" si="57"/>
        <v>0</v>
      </c>
      <c r="I122" s="31">
        <f t="shared" si="57"/>
        <v>0</v>
      </c>
      <c r="J122" s="31">
        <f t="shared" si="57"/>
        <v>0</v>
      </c>
      <c r="K122" s="101"/>
      <c r="L122" s="17"/>
      <c r="M122" s="17"/>
      <c r="N122" s="17"/>
      <c r="O122" s="17"/>
      <c r="P122" s="17"/>
      <c r="Q122" s="17"/>
      <c r="R122" s="17"/>
    </row>
    <row r="123" spans="1:18" ht="15" customHeight="1" x14ac:dyDescent="0.25">
      <c r="A123" s="96" t="s">
        <v>194</v>
      </c>
      <c r="B123" s="32"/>
      <c r="C123" s="99" t="s">
        <v>152</v>
      </c>
      <c r="D123" s="32" t="s">
        <v>31</v>
      </c>
      <c r="E123" s="31">
        <f>E124+E125</f>
        <v>2066.4</v>
      </c>
      <c r="F123" s="31">
        <f t="shared" ref="F123:J123" si="58">F124+F125</f>
        <v>2066.4</v>
      </c>
      <c r="G123" s="31">
        <f t="shared" si="58"/>
        <v>0</v>
      </c>
      <c r="H123" s="31">
        <f t="shared" si="58"/>
        <v>0</v>
      </c>
      <c r="I123" s="31">
        <f t="shared" si="58"/>
        <v>0</v>
      </c>
      <c r="J123" s="31">
        <f t="shared" si="58"/>
        <v>0</v>
      </c>
      <c r="K123" s="99" t="s">
        <v>195</v>
      </c>
      <c r="L123" s="17"/>
      <c r="M123" s="17"/>
      <c r="N123" s="17"/>
      <c r="O123" s="17"/>
      <c r="P123" s="17"/>
      <c r="Q123" s="17"/>
      <c r="R123" s="17"/>
    </row>
    <row r="124" spans="1:18" ht="60" x14ac:dyDescent="0.25">
      <c r="A124" s="97"/>
      <c r="B124" s="25" t="s">
        <v>25</v>
      </c>
      <c r="C124" s="100"/>
      <c r="D124" s="32" t="s">
        <v>51</v>
      </c>
      <c r="E124" s="31">
        <f>F124+G124+H124</f>
        <v>2066.4</v>
      </c>
      <c r="F124" s="31">
        <v>2066.4</v>
      </c>
      <c r="G124" s="31">
        <v>0</v>
      </c>
      <c r="H124" s="31">
        <v>0</v>
      </c>
      <c r="I124" s="31">
        <v>0</v>
      </c>
      <c r="J124" s="31">
        <v>0</v>
      </c>
      <c r="K124" s="100"/>
      <c r="L124" s="17" t="s">
        <v>39</v>
      </c>
      <c r="M124" s="17">
        <v>25</v>
      </c>
      <c r="N124" s="17">
        <v>25</v>
      </c>
      <c r="O124" s="17">
        <v>0</v>
      </c>
      <c r="P124" s="17">
        <v>0</v>
      </c>
      <c r="Q124" s="17">
        <v>0</v>
      </c>
      <c r="R124" s="17">
        <v>0</v>
      </c>
    </row>
    <row r="125" spans="1:18" ht="45" x14ac:dyDescent="0.25">
      <c r="A125" s="98"/>
      <c r="B125" s="32"/>
      <c r="C125" s="101"/>
      <c r="D125" s="32" t="s">
        <v>29</v>
      </c>
      <c r="E125" s="31">
        <f>F125+G125+H125+I125+J125</f>
        <v>0</v>
      </c>
      <c r="F125" s="31">
        <v>0</v>
      </c>
      <c r="G125" s="31">
        <v>0</v>
      </c>
      <c r="H125" s="31">
        <v>0</v>
      </c>
      <c r="I125" s="52">
        <v>0</v>
      </c>
      <c r="J125" s="52">
        <v>0</v>
      </c>
      <c r="K125" s="101"/>
      <c r="L125" s="17"/>
      <c r="M125" s="17"/>
      <c r="N125" s="17"/>
      <c r="O125" s="17"/>
      <c r="P125" s="17"/>
      <c r="Q125" s="17"/>
      <c r="R125" s="17"/>
    </row>
    <row r="126" spans="1:18" ht="76.5" x14ac:dyDescent="0.25">
      <c r="A126" s="32" t="s">
        <v>196</v>
      </c>
      <c r="B126" s="25" t="s">
        <v>25</v>
      </c>
      <c r="C126" s="36" t="s">
        <v>152</v>
      </c>
      <c r="D126" s="32" t="s">
        <v>51</v>
      </c>
      <c r="E126" s="31">
        <f>F126+G126+H126+I126+J126</f>
        <v>752.6</v>
      </c>
      <c r="F126" s="31">
        <v>752.6</v>
      </c>
      <c r="G126" s="31">
        <v>0</v>
      </c>
      <c r="H126" s="31">
        <v>0</v>
      </c>
      <c r="I126" s="31">
        <v>0</v>
      </c>
      <c r="J126" s="31">
        <v>0</v>
      </c>
      <c r="K126" s="36" t="s">
        <v>197</v>
      </c>
      <c r="L126" s="17" t="s">
        <v>39</v>
      </c>
      <c r="M126" s="17">
        <v>25</v>
      </c>
      <c r="N126" s="17">
        <v>25</v>
      </c>
      <c r="O126" s="17">
        <v>0</v>
      </c>
      <c r="P126" s="17">
        <v>0</v>
      </c>
      <c r="Q126" s="17">
        <v>0</v>
      </c>
      <c r="R126" s="17">
        <v>0</v>
      </c>
    </row>
    <row r="127" spans="1:18" ht="15" customHeight="1" x14ac:dyDescent="0.25">
      <c r="A127" s="121" t="s">
        <v>198</v>
      </c>
      <c r="B127" s="32"/>
      <c r="C127" s="99" t="s">
        <v>152</v>
      </c>
      <c r="D127" s="32" t="s">
        <v>31</v>
      </c>
      <c r="E127" s="31">
        <f>E129+E128</f>
        <v>18.600000000000001</v>
      </c>
      <c r="F127" s="31">
        <f t="shared" ref="F127:J127" si="59">F129+F128</f>
        <v>18.600000000000001</v>
      </c>
      <c r="G127" s="31">
        <f t="shared" si="59"/>
        <v>0</v>
      </c>
      <c r="H127" s="31">
        <f t="shared" si="59"/>
        <v>0</v>
      </c>
      <c r="I127" s="31">
        <f t="shared" si="59"/>
        <v>0</v>
      </c>
      <c r="J127" s="31">
        <f t="shared" si="59"/>
        <v>0</v>
      </c>
      <c r="K127" s="99" t="s">
        <v>199</v>
      </c>
      <c r="L127" s="17"/>
      <c r="M127" s="17"/>
      <c r="N127" s="17"/>
      <c r="O127" s="17"/>
      <c r="P127" s="17"/>
      <c r="Q127" s="17"/>
      <c r="R127" s="17"/>
    </row>
    <row r="128" spans="1:18" ht="60" x14ac:dyDescent="0.25">
      <c r="A128" s="97"/>
      <c r="B128" s="25" t="s">
        <v>25</v>
      </c>
      <c r="C128" s="100"/>
      <c r="D128" s="32" t="s">
        <v>51</v>
      </c>
      <c r="E128" s="31">
        <f t="shared" ref="E128" si="60">F128+G128+H128</f>
        <v>18.600000000000001</v>
      </c>
      <c r="F128" s="31">
        <v>18.600000000000001</v>
      </c>
      <c r="G128" s="31">
        <v>0</v>
      </c>
      <c r="H128" s="31">
        <v>0</v>
      </c>
      <c r="I128" s="31">
        <v>0</v>
      </c>
      <c r="J128" s="31">
        <v>0</v>
      </c>
      <c r="K128" s="100"/>
      <c r="L128" s="17" t="s">
        <v>39</v>
      </c>
      <c r="M128" s="17">
        <v>4</v>
      </c>
      <c r="N128" s="17">
        <v>4</v>
      </c>
      <c r="O128" s="17">
        <v>0</v>
      </c>
      <c r="P128" s="17">
        <v>0</v>
      </c>
      <c r="Q128" s="17">
        <v>0</v>
      </c>
      <c r="R128" s="17">
        <v>0</v>
      </c>
    </row>
    <row r="129" spans="1:18" ht="45" x14ac:dyDescent="0.25">
      <c r="A129" s="98"/>
      <c r="B129" s="32"/>
      <c r="C129" s="101"/>
      <c r="D129" s="32" t="s">
        <v>29</v>
      </c>
      <c r="E129" s="31">
        <f>F129+G129+H129</f>
        <v>0</v>
      </c>
      <c r="F129" s="31">
        <v>0</v>
      </c>
      <c r="G129" s="31">
        <v>0</v>
      </c>
      <c r="H129" s="31">
        <v>0</v>
      </c>
      <c r="I129" s="52">
        <v>0</v>
      </c>
      <c r="J129" s="52">
        <v>0</v>
      </c>
      <c r="K129" s="101"/>
      <c r="L129" s="17"/>
      <c r="M129" s="17"/>
      <c r="N129" s="17"/>
      <c r="O129" s="17"/>
      <c r="P129" s="17"/>
      <c r="Q129" s="17"/>
      <c r="R129" s="17"/>
    </row>
    <row r="130" spans="1:18" ht="76.5" x14ac:dyDescent="0.25">
      <c r="A130" s="50" t="s">
        <v>200</v>
      </c>
      <c r="B130" s="25" t="s">
        <v>25</v>
      </c>
      <c r="C130" s="36" t="s">
        <v>152</v>
      </c>
      <c r="D130" s="32" t="s">
        <v>51</v>
      </c>
      <c r="E130" s="31">
        <f>E131+E132+E133+E134+E135</f>
        <v>6683.4</v>
      </c>
      <c r="F130" s="31">
        <f t="shared" ref="F130:J130" si="61">F131+F132+F133+F134+F135</f>
        <v>1260.5999999999999</v>
      </c>
      <c r="G130" s="31">
        <f t="shared" si="61"/>
        <v>583.5</v>
      </c>
      <c r="H130" s="31">
        <f t="shared" si="61"/>
        <v>364.8</v>
      </c>
      <c r="I130" s="31">
        <f t="shared" si="61"/>
        <v>335.6</v>
      </c>
      <c r="J130" s="31">
        <f t="shared" si="61"/>
        <v>4138.8999999999996</v>
      </c>
      <c r="K130" s="36" t="s">
        <v>201</v>
      </c>
      <c r="L130" s="17" t="s">
        <v>90</v>
      </c>
      <c r="M130" s="17">
        <v>25</v>
      </c>
      <c r="N130" s="17">
        <v>25</v>
      </c>
      <c r="O130" s="17">
        <v>25</v>
      </c>
      <c r="P130" s="17">
        <v>25</v>
      </c>
      <c r="Q130" s="17">
        <v>25</v>
      </c>
      <c r="R130" s="17">
        <v>25</v>
      </c>
    </row>
    <row r="131" spans="1:18" ht="63.75" x14ac:dyDescent="0.25">
      <c r="A131" s="32" t="s">
        <v>202</v>
      </c>
      <c r="B131" s="25" t="s">
        <v>25</v>
      </c>
      <c r="C131" s="36" t="s">
        <v>152</v>
      </c>
      <c r="D131" s="32" t="s">
        <v>51</v>
      </c>
      <c r="E131" s="31">
        <f>F131+G131+H131+I131+J131</f>
        <v>6.3</v>
      </c>
      <c r="F131" s="31">
        <v>0</v>
      </c>
      <c r="G131" s="31">
        <v>0</v>
      </c>
      <c r="H131" s="31">
        <v>0</v>
      </c>
      <c r="I131" s="31">
        <v>0</v>
      </c>
      <c r="J131" s="31">
        <f>'[1]охр.тр. обуч.'!O58</f>
        <v>6.3</v>
      </c>
      <c r="K131" s="36" t="s">
        <v>203</v>
      </c>
      <c r="L131" s="17" t="s">
        <v>47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2</v>
      </c>
    </row>
    <row r="132" spans="1:18" ht="63.75" x14ac:dyDescent="0.25">
      <c r="A132" s="32" t="s">
        <v>204</v>
      </c>
      <c r="B132" s="25" t="s">
        <v>25</v>
      </c>
      <c r="C132" s="36" t="s">
        <v>152</v>
      </c>
      <c r="D132" s="32" t="s">
        <v>51</v>
      </c>
      <c r="E132" s="31">
        <f>F132+G132+H132+I132+J132</f>
        <v>5831.6</v>
      </c>
      <c r="F132" s="31">
        <v>1260.5999999999999</v>
      </c>
      <c r="G132" s="31">
        <f>364.8+218.7</f>
        <v>583.5</v>
      </c>
      <c r="H132" s="31">
        <v>364.8</v>
      </c>
      <c r="I132" s="31">
        <v>335.6</v>
      </c>
      <c r="J132" s="31">
        <v>3287.1</v>
      </c>
      <c r="K132" s="36" t="s">
        <v>205</v>
      </c>
      <c r="L132" s="17" t="s">
        <v>47</v>
      </c>
      <c r="M132" s="17">
        <v>1042</v>
      </c>
      <c r="N132" s="17">
        <v>1042</v>
      </c>
      <c r="O132" s="17">
        <v>1042</v>
      </c>
      <c r="P132" s="17">
        <v>1042</v>
      </c>
      <c r="Q132" s="17">
        <v>1042</v>
      </c>
      <c r="R132" s="17">
        <v>1042</v>
      </c>
    </row>
    <row r="133" spans="1:18" ht="60" x14ac:dyDescent="0.25">
      <c r="A133" s="51" t="s">
        <v>206</v>
      </c>
      <c r="B133" s="25" t="s">
        <v>25</v>
      </c>
      <c r="C133" s="36" t="s">
        <v>152</v>
      </c>
      <c r="D133" s="32" t="s">
        <v>51</v>
      </c>
      <c r="E133" s="31">
        <f>F133+G133+H133+I133+J133</f>
        <v>125.2</v>
      </c>
      <c r="F133" s="31">
        <v>0</v>
      </c>
      <c r="G133" s="31">
        <v>0</v>
      </c>
      <c r="H133" s="31">
        <v>0</v>
      </c>
      <c r="I133" s="31">
        <v>0</v>
      </c>
      <c r="J133" s="31">
        <v>125.2</v>
      </c>
      <c r="K133" s="36" t="s">
        <v>207</v>
      </c>
      <c r="L133" s="17" t="s">
        <v>115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60</v>
      </c>
    </row>
    <row r="134" spans="1:18" ht="76.5" x14ac:dyDescent="0.25">
      <c r="A134" s="51" t="s">
        <v>208</v>
      </c>
      <c r="B134" s="25" t="s">
        <v>25</v>
      </c>
      <c r="C134" s="36" t="s">
        <v>152</v>
      </c>
      <c r="D134" s="32" t="s">
        <v>51</v>
      </c>
      <c r="E134" s="31">
        <f>F134+G134+H134+I134+J134</f>
        <v>591.4</v>
      </c>
      <c r="F134" s="31">
        <v>0</v>
      </c>
      <c r="G134" s="31">
        <v>0</v>
      </c>
      <c r="H134" s="31">
        <v>0</v>
      </c>
      <c r="I134" s="31">
        <v>0</v>
      </c>
      <c r="J134" s="31">
        <f>'[1]охр.тр спецодежда'!R28</f>
        <v>591.4</v>
      </c>
      <c r="K134" s="36" t="s">
        <v>209</v>
      </c>
      <c r="L134" s="17" t="s">
        <v>115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25</v>
      </c>
    </row>
    <row r="135" spans="1:18" ht="76.5" x14ac:dyDescent="0.25">
      <c r="A135" s="50" t="s">
        <v>210</v>
      </c>
      <c r="B135" s="25" t="s">
        <v>25</v>
      </c>
      <c r="C135" s="36" t="s">
        <v>152</v>
      </c>
      <c r="D135" s="32" t="s">
        <v>51</v>
      </c>
      <c r="E135" s="31">
        <f>F135+G135+H135+I135+J135</f>
        <v>128.9</v>
      </c>
      <c r="F135" s="31">
        <v>0</v>
      </c>
      <c r="G135" s="31">
        <v>0</v>
      </c>
      <c r="H135" s="31">
        <v>0</v>
      </c>
      <c r="I135" s="31">
        <v>0</v>
      </c>
      <c r="J135" s="31">
        <f>'[1]охр.тр. ГЛОНАС'!J23</f>
        <v>128.9</v>
      </c>
      <c r="K135" s="36" t="s">
        <v>211</v>
      </c>
      <c r="L135" s="17" t="s">
        <v>39</v>
      </c>
      <c r="M135" s="17">
        <v>13</v>
      </c>
      <c r="N135" s="17">
        <v>0</v>
      </c>
      <c r="O135" s="17">
        <v>0</v>
      </c>
      <c r="P135" s="17">
        <v>0</v>
      </c>
      <c r="Q135" s="17">
        <v>0</v>
      </c>
      <c r="R135" s="17">
        <v>13</v>
      </c>
    </row>
    <row r="136" spans="1:18" ht="63.75" x14ac:dyDescent="0.25">
      <c r="A136" s="50" t="s">
        <v>212</v>
      </c>
      <c r="B136" s="25" t="s">
        <v>25</v>
      </c>
      <c r="C136" s="36" t="s">
        <v>152</v>
      </c>
      <c r="D136" s="32" t="s">
        <v>51</v>
      </c>
      <c r="E136" s="31">
        <f>E137+E138+E139+E140+E141+E142+E143+E144+E145+E146</f>
        <v>5620.7999999999993</v>
      </c>
      <c r="F136" s="31">
        <f t="shared" ref="F136:J136" si="62">F137+F138+F139+F140+F141+F142+F143+F144+F145+F146</f>
        <v>300</v>
      </c>
      <c r="G136" s="31">
        <f t="shared" si="62"/>
        <v>913.2</v>
      </c>
      <c r="H136" s="31">
        <f t="shared" si="62"/>
        <v>86.9</v>
      </c>
      <c r="I136" s="31">
        <f t="shared" si="62"/>
        <v>79.900000000000006</v>
      </c>
      <c r="J136" s="31">
        <f t="shared" si="62"/>
        <v>4240.7999999999993</v>
      </c>
      <c r="K136" s="36" t="s">
        <v>213</v>
      </c>
      <c r="L136" s="17" t="s">
        <v>39</v>
      </c>
      <c r="M136" s="17">
        <v>25</v>
      </c>
      <c r="N136" s="17">
        <v>25</v>
      </c>
      <c r="O136" s="17">
        <v>25</v>
      </c>
      <c r="P136" s="17">
        <v>25</v>
      </c>
      <c r="Q136" s="17">
        <v>25</v>
      </c>
      <c r="R136" s="17">
        <v>25</v>
      </c>
    </row>
    <row r="137" spans="1:18" ht="76.5" x14ac:dyDescent="0.25">
      <c r="A137" s="32" t="s">
        <v>214</v>
      </c>
      <c r="B137" s="25" t="s">
        <v>25</v>
      </c>
      <c r="C137" s="36" t="s">
        <v>152</v>
      </c>
      <c r="D137" s="32" t="s">
        <v>51</v>
      </c>
      <c r="E137" s="31">
        <f>F137+G137+H137+I137+J137</f>
        <v>244.89999999999998</v>
      </c>
      <c r="F137" s="31">
        <v>0</v>
      </c>
      <c r="G137" s="53">
        <v>25.2</v>
      </c>
      <c r="H137" s="53"/>
      <c r="I137" s="31"/>
      <c r="J137" s="53">
        <f>'[1]пож.шк и доп'!B136</f>
        <v>219.7</v>
      </c>
      <c r="K137" s="36" t="s">
        <v>215</v>
      </c>
      <c r="L137" s="17" t="s">
        <v>39</v>
      </c>
      <c r="M137" s="17">
        <v>25</v>
      </c>
      <c r="N137" s="17">
        <v>0</v>
      </c>
      <c r="O137" s="17">
        <v>0</v>
      </c>
      <c r="P137" s="17">
        <v>0</v>
      </c>
      <c r="Q137" s="17">
        <v>0</v>
      </c>
      <c r="R137" s="17">
        <v>25</v>
      </c>
    </row>
    <row r="138" spans="1:18" ht="63.75" x14ac:dyDescent="0.25">
      <c r="A138" s="32" t="s">
        <v>216</v>
      </c>
      <c r="B138" s="25" t="s">
        <v>25</v>
      </c>
      <c r="C138" s="36" t="s">
        <v>152</v>
      </c>
      <c r="D138" s="32" t="s">
        <v>51</v>
      </c>
      <c r="E138" s="31">
        <f t="shared" ref="E138" si="63">F138+G138+H138+I138+J138</f>
        <v>201.5</v>
      </c>
      <c r="F138" s="31">
        <v>1.2</v>
      </c>
      <c r="G138" s="53">
        <v>25.2</v>
      </c>
      <c r="H138" s="53"/>
      <c r="I138" s="31"/>
      <c r="J138" s="53">
        <f>'[1]пож.шк и доп'!C136</f>
        <v>175.1</v>
      </c>
      <c r="K138" s="36" t="s">
        <v>217</v>
      </c>
      <c r="L138" s="17" t="s">
        <v>39</v>
      </c>
      <c r="M138" s="17">
        <v>25</v>
      </c>
      <c r="N138" s="17">
        <v>1</v>
      </c>
      <c r="O138" s="17">
        <v>0</v>
      </c>
      <c r="P138" s="17">
        <v>0</v>
      </c>
      <c r="Q138" s="17">
        <v>0</v>
      </c>
      <c r="R138" s="17">
        <v>25</v>
      </c>
    </row>
    <row r="139" spans="1:18" ht="76.5" x14ac:dyDescent="0.25">
      <c r="A139" s="51" t="s">
        <v>218</v>
      </c>
      <c r="B139" s="25" t="s">
        <v>25</v>
      </c>
      <c r="C139" s="36" t="s">
        <v>152</v>
      </c>
      <c r="D139" s="32" t="s">
        <v>51</v>
      </c>
      <c r="E139" s="31">
        <f>F139+G139+H139+I139+J139</f>
        <v>542.6</v>
      </c>
      <c r="F139" s="31">
        <v>0</v>
      </c>
      <c r="G139" s="53">
        <v>250</v>
      </c>
      <c r="H139" s="53"/>
      <c r="I139" s="31"/>
      <c r="J139" s="53">
        <f>'[1]пож.шк и доп'!D136</f>
        <v>292.60000000000002</v>
      </c>
      <c r="K139" s="36" t="s">
        <v>219</v>
      </c>
      <c r="L139" s="17" t="s">
        <v>39</v>
      </c>
      <c r="M139" s="17">
        <v>25</v>
      </c>
      <c r="N139" s="17">
        <v>0</v>
      </c>
      <c r="O139" s="17">
        <v>0</v>
      </c>
      <c r="P139" s="17">
        <v>0</v>
      </c>
      <c r="Q139" s="17">
        <v>0</v>
      </c>
      <c r="R139" s="17">
        <v>25</v>
      </c>
    </row>
    <row r="140" spans="1:18" ht="76.5" x14ac:dyDescent="0.25">
      <c r="A140" s="51" t="s">
        <v>220</v>
      </c>
      <c r="B140" s="25" t="s">
        <v>25</v>
      </c>
      <c r="C140" s="36" t="s">
        <v>152</v>
      </c>
      <c r="D140" s="32" t="s">
        <v>51</v>
      </c>
      <c r="E140" s="31">
        <f t="shared" ref="E140:E142" si="64">F140+G140+H140+I140+J140</f>
        <v>500.2</v>
      </c>
      <c r="F140" s="31">
        <v>0</v>
      </c>
      <c r="G140" s="53">
        <v>0</v>
      </c>
      <c r="H140" s="31">
        <v>0</v>
      </c>
      <c r="I140" s="31">
        <f t="shared" ref="I140:I146" si="65">ROUND(H140*1.043,1)</f>
        <v>0</v>
      </c>
      <c r="J140" s="31">
        <v>500.2</v>
      </c>
      <c r="K140" s="36" t="s">
        <v>221</v>
      </c>
      <c r="L140" s="17" t="s">
        <v>39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2</v>
      </c>
    </row>
    <row r="141" spans="1:18" ht="63.75" x14ac:dyDescent="0.25">
      <c r="A141" s="51" t="s">
        <v>222</v>
      </c>
      <c r="B141" s="25" t="s">
        <v>25</v>
      </c>
      <c r="C141" s="36" t="s">
        <v>152</v>
      </c>
      <c r="D141" s="32" t="s">
        <v>51</v>
      </c>
      <c r="E141" s="31">
        <f t="shared" si="64"/>
        <v>510.2</v>
      </c>
      <c r="F141" s="31">
        <v>0</v>
      </c>
      <c r="G141" s="31">
        <v>0</v>
      </c>
      <c r="H141" s="31">
        <f t="shared" ref="H141" si="66">ROUND(G141*1.048,1)</f>
        <v>0</v>
      </c>
      <c r="I141" s="31">
        <v>0</v>
      </c>
      <c r="J141" s="31">
        <v>510.2</v>
      </c>
      <c r="K141" s="36" t="s">
        <v>223</v>
      </c>
      <c r="L141" s="17" t="s">
        <v>39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25</v>
      </c>
    </row>
    <row r="142" spans="1:18" ht="63.75" x14ac:dyDescent="0.25">
      <c r="A142" s="51" t="s">
        <v>224</v>
      </c>
      <c r="B142" s="25" t="s">
        <v>25</v>
      </c>
      <c r="C142" s="36" t="s">
        <v>152</v>
      </c>
      <c r="D142" s="32" t="s">
        <v>51</v>
      </c>
      <c r="E142" s="31">
        <f t="shared" si="64"/>
        <v>637.79999999999995</v>
      </c>
      <c r="F142" s="31">
        <v>0</v>
      </c>
      <c r="G142" s="31">
        <v>0</v>
      </c>
      <c r="H142" s="31">
        <v>0</v>
      </c>
      <c r="I142" s="31">
        <v>0</v>
      </c>
      <c r="J142" s="31">
        <v>637.79999999999995</v>
      </c>
      <c r="K142" s="36" t="s">
        <v>225</v>
      </c>
      <c r="L142" s="17" t="s">
        <v>39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25</v>
      </c>
    </row>
    <row r="143" spans="1:18" ht="76.5" x14ac:dyDescent="0.25">
      <c r="A143" s="51" t="s">
        <v>226</v>
      </c>
      <c r="B143" s="25" t="s">
        <v>25</v>
      </c>
      <c r="C143" s="36" t="s">
        <v>152</v>
      </c>
      <c r="D143" s="32" t="s">
        <v>51</v>
      </c>
      <c r="E143" s="31">
        <f>F143+G143+H143+I143+J143</f>
        <v>609.20000000000005</v>
      </c>
      <c r="F143" s="31">
        <v>0</v>
      </c>
      <c r="G143" s="53">
        <v>270.60000000000002</v>
      </c>
      <c r="H143" s="53">
        <v>0</v>
      </c>
      <c r="I143" s="53">
        <v>0</v>
      </c>
      <c r="J143" s="53">
        <f>'[1]пож.шк и доп'!H136</f>
        <v>338.6</v>
      </c>
      <c r="K143" s="36" t="s">
        <v>227</v>
      </c>
      <c r="L143" s="17" t="s">
        <v>39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6</v>
      </c>
    </row>
    <row r="144" spans="1:18" ht="89.25" x14ac:dyDescent="0.25">
      <c r="A144" s="51" t="s">
        <v>228</v>
      </c>
      <c r="B144" s="25" t="s">
        <v>25</v>
      </c>
      <c r="C144" s="36" t="s">
        <v>152</v>
      </c>
      <c r="D144" s="32" t="s">
        <v>51</v>
      </c>
      <c r="E144" s="31">
        <f>F144+G144+H144+I144+J144</f>
        <v>1976</v>
      </c>
      <c r="F144" s="31">
        <f>288+12-1.2</f>
        <v>298.8</v>
      </c>
      <c r="G144" s="53">
        <f>86.9+255.3</f>
        <v>342.20000000000005</v>
      </c>
      <c r="H144" s="53">
        <v>86.9</v>
      </c>
      <c r="I144" s="31">
        <v>79.900000000000006</v>
      </c>
      <c r="J144" s="53">
        <f>'[1]пож.шк и доп'!I136+'[1]пож.шк и доп'!J136</f>
        <v>1168.2</v>
      </c>
      <c r="K144" s="36" t="s">
        <v>229</v>
      </c>
      <c r="L144" s="17" t="s">
        <v>39</v>
      </c>
      <c r="M144" s="17">
        <v>25</v>
      </c>
      <c r="N144" s="17">
        <v>25</v>
      </c>
      <c r="O144" s="17">
        <v>25</v>
      </c>
      <c r="P144" s="17">
        <v>25</v>
      </c>
      <c r="Q144" s="17">
        <v>25</v>
      </c>
      <c r="R144" s="17">
        <v>25</v>
      </c>
    </row>
    <row r="145" spans="1:18" ht="63.75" x14ac:dyDescent="0.25">
      <c r="A145" s="51" t="s">
        <v>230</v>
      </c>
      <c r="B145" s="25" t="s">
        <v>25</v>
      </c>
      <c r="C145" s="36" t="s">
        <v>152</v>
      </c>
      <c r="D145" s="32" t="s">
        <v>51</v>
      </c>
      <c r="E145" s="31">
        <f>F145+G145+H145+I145+J145</f>
        <v>339.5</v>
      </c>
      <c r="F145" s="31">
        <v>0</v>
      </c>
      <c r="G145" s="53">
        <v>0</v>
      </c>
      <c r="H145" s="31">
        <v>0</v>
      </c>
      <c r="I145" s="31">
        <f t="shared" si="65"/>
        <v>0</v>
      </c>
      <c r="J145" s="31">
        <v>339.5</v>
      </c>
      <c r="K145" s="36" t="s">
        <v>231</v>
      </c>
      <c r="L145" s="17" t="s">
        <v>39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25</v>
      </c>
    </row>
    <row r="146" spans="1:18" ht="60" x14ac:dyDescent="0.25">
      <c r="A146" s="51" t="s">
        <v>232</v>
      </c>
      <c r="B146" s="25" t="s">
        <v>25</v>
      </c>
      <c r="C146" s="36" t="s">
        <v>152</v>
      </c>
      <c r="D146" s="32" t="s">
        <v>51</v>
      </c>
      <c r="E146" s="31">
        <f>F146+G146+H146+I146+J146</f>
        <v>58.9</v>
      </c>
      <c r="F146" s="31">
        <v>0</v>
      </c>
      <c r="G146" s="31">
        <v>0</v>
      </c>
      <c r="H146" s="31">
        <f>G146</f>
        <v>0</v>
      </c>
      <c r="I146" s="31">
        <f t="shared" si="65"/>
        <v>0</v>
      </c>
      <c r="J146" s="31">
        <v>58.9</v>
      </c>
      <c r="K146" s="36" t="s">
        <v>233</v>
      </c>
      <c r="L146" s="17" t="s">
        <v>47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18</v>
      </c>
    </row>
    <row r="147" spans="1:18" ht="63.75" x14ac:dyDescent="0.25">
      <c r="A147" s="50" t="s">
        <v>234</v>
      </c>
      <c r="B147" s="25" t="s">
        <v>25</v>
      </c>
      <c r="C147" s="36" t="s">
        <v>152</v>
      </c>
      <c r="D147" s="32" t="s">
        <v>51</v>
      </c>
      <c r="E147" s="31">
        <f>E148+E149+E150+E151</f>
        <v>5663.9</v>
      </c>
      <c r="F147" s="31">
        <f t="shared" ref="F147:J147" si="67">F148+F149+F150+F151</f>
        <v>0</v>
      </c>
      <c r="G147" s="31">
        <f t="shared" si="67"/>
        <v>0</v>
      </c>
      <c r="H147" s="31">
        <f t="shared" si="67"/>
        <v>0</v>
      </c>
      <c r="I147" s="31">
        <f t="shared" si="67"/>
        <v>0</v>
      </c>
      <c r="J147" s="31">
        <f t="shared" si="67"/>
        <v>5663.9</v>
      </c>
      <c r="K147" s="36" t="s">
        <v>235</v>
      </c>
      <c r="L147" s="17" t="s">
        <v>33</v>
      </c>
      <c r="M147" s="17">
        <v>100</v>
      </c>
      <c r="N147" s="17">
        <v>0</v>
      </c>
      <c r="O147" s="17">
        <v>0</v>
      </c>
      <c r="P147" s="17">
        <v>0</v>
      </c>
      <c r="Q147" s="17">
        <v>0</v>
      </c>
      <c r="R147" s="17">
        <v>100</v>
      </c>
    </row>
    <row r="148" spans="1:18" ht="63.75" x14ac:dyDescent="0.25">
      <c r="A148" s="32" t="s">
        <v>236</v>
      </c>
      <c r="B148" s="25" t="s">
        <v>25</v>
      </c>
      <c r="C148" s="36" t="s">
        <v>152</v>
      </c>
      <c r="D148" s="32" t="s">
        <v>51</v>
      </c>
      <c r="E148" s="31">
        <f>F148+G148+H148+I148+J148</f>
        <v>2829.1</v>
      </c>
      <c r="F148" s="31">
        <v>0</v>
      </c>
      <c r="G148" s="31">
        <v>0</v>
      </c>
      <c r="H148" s="32">
        <v>0</v>
      </c>
      <c r="I148" s="32">
        <f>ROUND(H148*1.043,1)</f>
        <v>0</v>
      </c>
      <c r="J148" s="32">
        <v>2829.1</v>
      </c>
      <c r="K148" s="36" t="s">
        <v>237</v>
      </c>
      <c r="L148" s="17" t="s">
        <v>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100</v>
      </c>
    </row>
    <row r="149" spans="1:18" ht="63.75" hidden="1" x14ac:dyDescent="0.25">
      <c r="A149" s="32" t="s">
        <v>238</v>
      </c>
      <c r="B149" s="25" t="s">
        <v>25</v>
      </c>
      <c r="C149" s="36" t="s">
        <v>152</v>
      </c>
      <c r="D149" s="32" t="s">
        <v>51</v>
      </c>
      <c r="E149" s="31">
        <f>F149+G149+H149+I149+J149</f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6" t="s">
        <v>239</v>
      </c>
      <c r="L149" s="17" t="s">
        <v>115</v>
      </c>
      <c r="M149" s="17">
        <v>1</v>
      </c>
      <c r="N149" s="17">
        <v>0</v>
      </c>
      <c r="O149" s="17">
        <v>1</v>
      </c>
      <c r="P149" s="17">
        <v>1</v>
      </c>
      <c r="Q149" s="17">
        <v>1</v>
      </c>
      <c r="R149" s="17">
        <v>1</v>
      </c>
    </row>
    <row r="150" spans="1:18" ht="63.75" x14ac:dyDescent="0.25">
      <c r="A150" s="51" t="s">
        <v>240</v>
      </c>
      <c r="B150" s="25" t="s">
        <v>25</v>
      </c>
      <c r="C150" s="36" t="s">
        <v>152</v>
      </c>
      <c r="D150" s="32" t="s">
        <v>51</v>
      </c>
      <c r="E150" s="31">
        <f>F150+G150+H150+I150+J150</f>
        <v>768.9</v>
      </c>
      <c r="F150" s="31">
        <v>0</v>
      </c>
      <c r="G150" s="31">
        <v>0</v>
      </c>
      <c r="H150" s="32">
        <v>0</v>
      </c>
      <c r="I150" s="32">
        <f>ROUND(H150*1.043,1)</f>
        <v>0</v>
      </c>
      <c r="J150" s="32">
        <v>768.9</v>
      </c>
      <c r="K150" s="36" t="s">
        <v>241</v>
      </c>
      <c r="L150" s="17" t="s">
        <v>39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3</v>
      </c>
    </row>
    <row r="151" spans="1:18" ht="63.75" x14ac:dyDescent="0.25">
      <c r="A151" s="51" t="s">
        <v>242</v>
      </c>
      <c r="B151" s="25" t="s">
        <v>25</v>
      </c>
      <c r="C151" s="36" t="s">
        <v>152</v>
      </c>
      <c r="D151" s="32" t="s">
        <v>51</v>
      </c>
      <c r="E151" s="31">
        <f t="shared" ref="E151" si="68">F151+G151+H151+I151+J151</f>
        <v>2065.9</v>
      </c>
      <c r="F151" s="31">
        <v>0</v>
      </c>
      <c r="G151" s="31">
        <v>0</v>
      </c>
      <c r="H151" s="32">
        <v>0</v>
      </c>
      <c r="I151" s="32">
        <f>ROUND(H151*1.043,1)</f>
        <v>0</v>
      </c>
      <c r="J151" s="32">
        <v>2065.9</v>
      </c>
      <c r="K151" s="36" t="s">
        <v>243</v>
      </c>
      <c r="L151" s="17" t="s">
        <v>39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17</v>
      </c>
    </row>
    <row r="152" spans="1:18" ht="76.5" x14ac:dyDescent="0.25">
      <c r="A152" s="50" t="s">
        <v>244</v>
      </c>
      <c r="B152" s="25" t="s">
        <v>25</v>
      </c>
      <c r="C152" s="36" t="s">
        <v>152</v>
      </c>
      <c r="D152" s="32" t="s">
        <v>51</v>
      </c>
      <c r="E152" s="31">
        <f>E153</f>
        <v>2145.1999999999998</v>
      </c>
      <c r="F152" s="31">
        <f t="shared" ref="F152:J152" si="69">F153</f>
        <v>0</v>
      </c>
      <c r="G152" s="31">
        <f t="shared" si="69"/>
        <v>0</v>
      </c>
      <c r="H152" s="31">
        <f t="shared" si="69"/>
        <v>0</v>
      </c>
      <c r="I152" s="31">
        <f t="shared" si="69"/>
        <v>0</v>
      </c>
      <c r="J152" s="31">
        <f t="shared" si="69"/>
        <v>2145.1999999999998</v>
      </c>
      <c r="K152" s="36" t="s">
        <v>245</v>
      </c>
      <c r="L152" s="17" t="s">
        <v>33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100</v>
      </c>
    </row>
    <row r="153" spans="1:18" ht="63.75" x14ac:dyDescent="0.25">
      <c r="A153" s="32" t="s">
        <v>246</v>
      </c>
      <c r="B153" s="25" t="s">
        <v>25</v>
      </c>
      <c r="C153" s="36" t="s">
        <v>152</v>
      </c>
      <c r="D153" s="32" t="s">
        <v>51</v>
      </c>
      <c r="E153" s="31">
        <f>F153+G153+H153+I153+J153</f>
        <v>2145.1999999999998</v>
      </c>
      <c r="F153" s="31">
        <v>0</v>
      </c>
      <c r="G153" s="31">
        <v>0</v>
      </c>
      <c r="H153" s="31">
        <v>0</v>
      </c>
      <c r="I153" s="31">
        <f t="shared" ref="I153" si="70">ROUND(H153*1.043,1)</f>
        <v>0</v>
      </c>
      <c r="J153" s="31">
        <v>2145.1999999999998</v>
      </c>
      <c r="K153" s="36" t="s">
        <v>247</v>
      </c>
      <c r="L153" s="17" t="s">
        <v>39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10</v>
      </c>
    </row>
    <row r="154" spans="1:18" ht="63.75" x14ac:dyDescent="0.25">
      <c r="A154" s="50" t="s">
        <v>248</v>
      </c>
      <c r="B154" s="25" t="s">
        <v>25</v>
      </c>
      <c r="C154" s="36" t="s">
        <v>152</v>
      </c>
      <c r="D154" s="32" t="s">
        <v>51</v>
      </c>
      <c r="E154" s="31">
        <f>E155+E156+E157+E158+E159+E160+E161</f>
        <v>10544.499999999998</v>
      </c>
      <c r="F154" s="31">
        <f t="shared" ref="F154:J154" si="71">F155+F156+F157+F158+F159+F160+F161</f>
        <v>1475.0000000000002</v>
      </c>
      <c r="G154" s="31">
        <f t="shared" si="71"/>
        <v>1150</v>
      </c>
      <c r="H154" s="31">
        <f t="shared" si="71"/>
        <v>1150</v>
      </c>
      <c r="I154" s="31">
        <f t="shared" si="71"/>
        <v>1058</v>
      </c>
      <c r="J154" s="31">
        <f t="shared" si="71"/>
        <v>5711.4999999999991</v>
      </c>
      <c r="K154" s="36" t="s">
        <v>249</v>
      </c>
      <c r="L154" s="17" t="s">
        <v>39</v>
      </c>
      <c r="M154" s="17">
        <v>25</v>
      </c>
      <c r="N154" s="17">
        <v>25</v>
      </c>
      <c r="O154" s="17">
        <v>25</v>
      </c>
      <c r="P154" s="17">
        <v>25</v>
      </c>
      <c r="Q154" s="17">
        <v>25</v>
      </c>
      <c r="R154" s="17">
        <v>25</v>
      </c>
    </row>
    <row r="155" spans="1:18" ht="76.5" x14ac:dyDescent="0.25">
      <c r="A155" s="32" t="s">
        <v>250</v>
      </c>
      <c r="B155" s="25" t="s">
        <v>25</v>
      </c>
      <c r="C155" s="36" t="s">
        <v>152</v>
      </c>
      <c r="D155" s="32" t="s">
        <v>51</v>
      </c>
      <c r="E155" s="31">
        <f t="shared" ref="E155:E161" si="72">F155+G155+H155+I155+J155</f>
        <v>5457.5</v>
      </c>
      <c r="F155" s="31">
        <v>900</v>
      </c>
      <c r="G155" s="31">
        <v>1150</v>
      </c>
      <c r="H155" s="31">
        <f t="shared" ref="H155:H161" si="73">G155</f>
        <v>1150</v>
      </c>
      <c r="I155" s="32">
        <v>1058</v>
      </c>
      <c r="J155" s="32">
        <f>ROUND(H155*1.043,1)</f>
        <v>1199.5</v>
      </c>
      <c r="K155" s="36" t="s">
        <v>251</v>
      </c>
      <c r="L155" s="17" t="s">
        <v>39</v>
      </c>
      <c r="M155" s="17">
        <v>25</v>
      </c>
      <c r="N155" s="17">
        <v>25</v>
      </c>
      <c r="O155" s="17">
        <v>25</v>
      </c>
      <c r="P155" s="17">
        <v>25</v>
      </c>
      <c r="Q155" s="17">
        <v>25</v>
      </c>
      <c r="R155" s="17">
        <v>25</v>
      </c>
    </row>
    <row r="156" spans="1:18" ht="76.5" x14ac:dyDescent="0.25">
      <c r="A156" s="32" t="s">
        <v>252</v>
      </c>
      <c r="B156" s="25" t="s">
        <v>25</v>
      </c>
      <c r="C156" s="36" t="s">
        <v>152</v>
      </c>
      <c r="D156" s="32" t="s">
        <v>51</v>
      </c>
      <c r="E156" s="31">
        <f t="shared" si="72"/>
        <v>2707.9</v>
      </c>
      <c r="F156" s="31">
        <v>115.6</v>
      </c>
      <c r="G156" s="31">
        <v>0</v>
      </c>
      <c r="H156" s="31">
        <f t="shared" si="73"/>
        <v>0</v>
      </c>
      <c r="I156" s="32">
        <f t="shared" ref="I156:I161" si="74">ROUND(H156*1.043,1)</f>
        <v>0</v>
      </c>
      <c r="J156" s="32">
        <v>2592.3000000000002</v>
      </c>
      <c r="K156" s="36" t="s">
        <v>253</v>
      </c>
      <c r="L156" s="17" t="s">
        <v>39</v>
      </c>
      <c r="M156" s="17">
        <v>25</v>
      </c>
      <c r="N156" s="17">
        <v>25</v>
      </c>
      <c r="O156" s="17">
        <v>0</v>
      </c>
      <c r="P156" s="17">
        <v>0</v>
      </c>
      <c r="Q156" s="17">
        <v>0</v>
      </c>
      <c r="R156" s="17">
        <v>25</v>
      </c>
    </row>
    <row r="157" spans="1:18" ht="76.5" x14ac:dyDescent="0.25">
      <c r="A157" s="51" t="s">
        <v>254</v>
      </c>
      <c r="B157" s="25" t="s">
        <v>25</v>
      </c>
      <c r="C157" s="36" t="s">
        <v>152</v>
      </c>
      <c r="D157" s="32" t="s">
        <v>51</v>
      </c>
      <c r="E157" s="31">
        <f t="shared" si="72"/>
        <v>1331.3999999999999</v>
      </c>
      <c r="F157" s="31">
        <v>23.3</v>
      </c>
      <c r="G157" s="31">
        <v>0</v>
      </c>
      <c r="H157" s="31">
        <f t="shared" si="73"/>
        <v>0</v>
      </c>
      <c r="I157" s="32">
        <f t="shared" si="74"/>
        <v>0</v>
      </c>
      <c r="J157" s="32">
        <v>1308.0999999999999</v>
      </c>
      <c r="K157" s="36" t="s">
        <v>255</v>
      </c>
      <c r="L157" s="17" t="s">
        <v>39</v>
      </c>
      <c r="M157" s="17">
        <v>25</v>
      </c>
      <c r="N157" s="17">
        <v>2</v>
      </c>
      <c r="O157" s="17">
        <v>0</v>
      </c>
      <c r="P157" s="17">
        <v>0</v>
      </c>
      <c r="Q157" s="17">
        <v>0</v>
      </c>
      <c r="R157" s="17">
        <v>25</v>
      </c>
    </row>
    <row r="158" spans="1:18" ht="63.75" x14ac:dyDescent="0.25">
      <c r="A158" s="51" t="s">
        <v>256</v>
      </c>
      <c r="B158" s="25" t="s">
        <v>25</v>
      </c>
      <c r="C158" s="36" t="s">
        <v>152</v>
      </c>
      <c r="D158" s="32" t="s">
        <v>51</v>
      </c>
      <c r="E158" s="31">
        <f t="shared" si="72"/>
        <v>213.6</v>
      </c>
      <c r="F158" s="31">
        <v>50.4</v>
      </c>
      <c r="G158" s="31">
        <v>0</v>
      </c>
      <c r="H158" s="31">
        <f t="shared" si="73"/>
        <v>0</v>
      </c>
      <c r="I158" s="32">
        <f t="shared" si="74"/>
        <v>0</v>
      </c>
      <c r="J158" s="32">
        <v>163.19999999999999</v>
      </c>
      <c r="K158" s="36" t="s">
        <v>257</v>
      </c>
      <c r="L158" s="17" t="s">
        <v>39</v>
      </c>
      <c r="M158" s="17">
        <v>25</v>
      </c>
      <c r="N158" s="17">
        <v>25</v>
      </c>
      <c r="O158" s="17">
        <v>0</v>
      </c>
      <c r="P158" s="17">
        <v>0</v>
      </c>
      <c r="Q158" s="17">
        <v>0</v>
      </c>
      <c r="R158" s="17">
        <v>25</v>
      </c>
    </row>
    <row r="159" spans="1:18" ht="76.5" x14ac:dyDescent="0.25">
      <c r="A159" s="51" t="s">
        <v>258</v>
      </c>
      <c r="B159" s="25" t="s">
        <v>25</v>
      </c>
      <c r="C159" s="36" t="s">
        <v>152</v>
      </c>
      <c r="D159" s="32" t="s">
        <v>51</v>
      </c>
      <c r="E159" s="31">
        <f t="shared" si="72"/>
        <v>244.8</v>
      </c>
      <c r="F159" s="31">
        <v>109.2</v>
      </c>
      <c r="G159" s="31">
        <v>0</v>
      </c>
      <c r="H159" s="31">
        <f t="shared" si="73"/>
        <v>0</v>
      </c>
      <c r="I159" s="32">
        <f t="shared" si="74"/>
        <v>0</v>
      </c>
      <c r="J159" s="32">
        <v>135.6</v>
      </c>
      <c r="K159" s="36" t="s">
        <v>259</v>
      </c>
      <c r="L159" s="17" t="s">
        <v>39</v>
      </c>
      <c r="M159" s="17">
        <v>14</v>
      </c>
      <c r="N159" s="17">
        <v>14</v>
      </c>
      <c r="O159" s="17">
        <v>0</v>
      </c>
      <c r="P159" s="17">
        <v>0</v>
      </c>
      <c r="Q159" s="17">
        <v>0</v>
      </c>
      <c r="R159" s="17">
        <v>14</v>
      </c>
    </row>
    <row r="160" spans="1:18" ht="89.25" x14ac:dyDescent="0.25">
      <c r="A160" s="51" t="s">
        <v>260</v>
      </c>
      <c r="B160" s="25" t="s">
        <v>25</v>
      </c>
      <c r="C160" s="36" t="s">
        <v>152</v>
      </c>
      <c r="D160" s="32" t="s">
        <v>51</v>
      </c>
      <c r="E160" s="31">
        <f t="shared" si="72"/>
        <v>534.9</v>
      </c>
      <c r="F160" s="31">
        <v>276.5</v>
      </c>
      <c r="G160" s="31">
        <v>0</v>
      </c>
      <c r="H160" s="31">
        <f t="shared" si="73"/>
        <v>0</v>
      </c>
      <c r="I160" s="32">
        <f t="shared" si="74"/>
        <v>0</v>
      </c>
      <c r="J160" s="32">
        <v>258.39999999999998</v>
      </c>
      <c r="K160" s="36" t="s">
        <v>261</v>
      </c>
      <c r="L160" s="17" t="s">
        <v>39</v>
      </c>
      <c r="M160" s="17">
        <v>0</v>
      </c>
      <c r="N160" s="17">
        <v>25</v>
      </c>
      <c r="O160" s="17">
        <v>0</v>
      </c>
      <c r="P160" s="17">
        <v>0</v>
      </c>
      <c r="Q160" s="17">
        <v>0</v>
      </c>
      <c r="R160" s="17">
        <v>25</v>
      </c>
    </row>
    <row r="161" spans="1:18" ht="63" customHeight="1" x14ac:dyDescent="0.25">
      <c r="A161" s="50" t="s">
        <v>262</v>
      </c>
      <c r="B161" s="25"/>
      <c r="C161" s="36"/>
      <c r="D161" s="32" t="s">
        <v>51</v>
      </c>
      <c r="E161" s="31">
        <f t="shared" si="72"/>
        <v>54.4</v>
      </c>
      <c r="F161" s="31">
        <v>0</v>
      </c>
      <c r="G161" s="31">
        <v>0</v>
      </c>
      <c r="H161" s="31">
        <f t="shared" si="73"/>
        <v>0</v>
      </c>
      <c r="I161" s="32">
        <f t="shared" si="74"/>
        <v>0</v>
      </c>
      <c r="J161" s="32">
        <v>54.4</v>
      </c>
      <c r="K161" s="36" t="s">
        <v>263</v>
      </c>
      <c r="L161" s="17" t="s">
        <v>47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10</v>
      </c>
    </row>
    <row r="162" spans="1:18" ht="63.75" x14ac:dyDescent="0.25">
      <c r="A162" s="50" t="s">
        <v>264</v>
      </c>
      <c r="B162" s="25" t="s">
        <v>25</v>
      </c>
      <c r="C162" s="36" t="s">
        <v>152</v>
      </c>
      <c r="D162" s="32" t="s">
        <v>51</v>
      </c>
      <c r="E162" s="31">
        <f t="shared" ref="E162:J162" si="75">E163+E164+E165</f>
        <v>906.80000000000007</v>
      </c>
      <c r="F162" s="31">
        <f t="shared" si="75"/>
        <v>0</v>
      </c>
      <c r="G162" s="31">
        <f t="shared" si="75"/>
        <v>0</v>
      </c>
      <c r="H162" s="31">
        <f t="shared" si="75"/>
        <v>0</v>
      </c>
      <c r="I162" s="31">
        <f t="shared" si="75"/>
        <v>0</v>
      </c>
      <c r="J162" s="31">
        <f t="shared" si="75"/>
        <v>906.80000000000007</v>
      </c>
      <c r="K162" s="36" t="s">
        <v>265</v>
      </c>
      <c r="L162" s="30" t="s">
        <v>39</v>
      </c>
      <c r="M162" s="30">
        <v>1</v>
      </c>
      <c r="N162" s="30">
        <v>0</v>
      </c>
      <c r="O162" s="30">
        <v>0</v>
      </c>
      <c r="P162" s="30">
        <v>0</v>
      </c>
      <c r="Q162" s="30">
        <v>0</v>
      </c>
      <c r="R162" s="30">
        <v>1</v>
      </c>
    </row>
    <row r="163" spans="1:18" ht="63.75" hidden="1" x14ac:dyDescent="0.25">
      <c r="A163" s="32" t="s">
        <v>266</v>
      </c>
      <c r="B163" s="25" t="s">
        <v>25</v>
      </c>
      <c r="C163" s="36" t="s">
        <v>152</v>
      </c>
      <c r="D163" s="32" t="s">
        <v>51</v>
      </c>
      <c r="E163" s="31">
        <f>F163+G163+H163+I163+J163</f>
        <v>0</v>
      </c>
      <c r="F163" s="31">
        <v>0</v>
      </c>
      <c r="G163" s="31">
        <f t="shared" ref="G163" si="76">ROUND(F163*1.063,1)</f>
        <v>0</v>
      </c>
      <c r="H163" s="31">
        <f t="shared" ref="H163" si="77">ROUND(G163*1.049,1)</f>
        <v>0</v>
      </c>
      <c r="I163" s="31">
        <v>0</v>
      </c>
      <c r="J163" s="31">
        <v>0</v>
      </c>
      <c r="K163" s="36" t="s">
        <v>267</v>
      </c>
      <c r="L163" s="30" t="s">
        <v>39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</row>
    <row r="164" spans="1:18" ht="60" x14ac:dyDescent="0.25">
      <c r="A164" s="32" t="s">
        <v>268</v>
      </c>
      <c r="B164" s="25" t="s">
        <v>25</v>
      </c>
      <c r="C164" s="36" t="s">
        <v>152</v>
      </c>
      <c r="D164" s="32" t="s">
        <v>51</v>
      </c>
      <c r="E164" s="31">
        <f>F164+G164+H164+I164+J164</f>
        <v>836.2</v>
      </c>
      <c r="F164" s="31">
        <v>0</v>
      </c>
      <c r="G164" s="31">
        <v>0</v>
      </c>
      <c r="H164" s="31">
        <v>0</v>
      </c>
      <c r="I164" s="31">
        <v>0</v>
      </c>
      <c r="J164" s="31">
        <v>836.2</v>
      </c>
      <c r="K164" s="36" t="s">
        <v>269</v>
      </c>
      <c r="L164" s="17" t="s">
        <v>47</v>
      </c>
      <c r="M164" s="17">
        <v>180</v>
      </c>
      <c r="N164" s="17">
        <v>0</v>
      </c>
      <c r="O164" s="17">
        <v>0</v>
      </c>
      <c r="P164" s="17">
        <v>0</v>
      </c>
      <c r="Q164" s="17">
        <v>0</v>
      </c>
      <c r="R164" s="17">
        <v>240</v>
      </c>
    </row>
    <row r="165" spans="1:18" ht="60" x14ac:dyDescent="0.25">
      <c r="A165" s="51" t="s">
        <v>270</v>
      </c>
      <c r="B165" s="25" t="s">
        <v>25</v>
      </c>
      <c r="C165" s="36"/>
      <c r="D165" s="32" t="s">
        <v>51</v>
      </c>
      <c r="E165" s="31">
        <f>F165+G165+H165+I165+J165</f>
        <v>70.599999999999994</v>
      </c>
      <c r="F165" s="31">
        <v>0</v>
      </c>
      <c r="G165" s="31">
        <v>0</v>
      </c>
      <c r="H165" s="31">
        <v>0</v>
      </c>
      <c r="I165" s="31">
        <f>ROUND(H165*1.043,1)</f>
        <v>0</v>
      </c>
      <c r="J165" s="31">
        <v>70.599999999999994</v>
      </c>
      <c r="K165" s="36" t="s">
        <v>271</v>
      </c>
      <c r="L165" s="30" t="s">
        <v>39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39</v>
      </c>
    </row>
    <row r="166" spans="1:18" ht="60" x14ac:dyDescent="0.25">
      <c r="A166" s="45" t="s">
        <v>272</v>
      </c>
      <c r="B166" s="25" t="s">
        <v>25</v>
      </c>
      <c r="C166" s="36" t="s">
        <v>152</v>
      </c>
      <c r="D166" s="32" t="s">
        <v>51</v>
      </c>
      <c r="E166" s="54">
        <f>E167+E173</f>
        <v>185470.19999999998</v>
      </c>
      <c r="F166" s="54">
        <f t="shared" ref="F166:J166" si="78">F167+F173</f>
        <v>33927</v>
      </c>
      <c r="G166" s="54">
        <f t="shared" si="78"/>
        <v>35475.4</v>
      </c>
      <c r="H166" s="54">
        <f t="shared" si="78"/>
        <v>35396.199999999997</v>
      </c>
      <c r="I166" s="54">
        <f t="shared" si="78"/>
        <v>32564.5</v>
      </c>
      <c r="J166" s="54">
        <f t="shared" si="78"/>
        <v>48107.100000000006</v>
      </c>
      <c r="K166" s="55"/>
      <c r="L166" s="17"/>
      <c r="M166" s="17"/>
      <c r="N166" s="17"/>
      <c r="O166" s="17"/>
      <c r="P166" s="17"/>
      <c r="Q166" s="17"/>
      <c r="R166" s="17"/>
    </row>
    <row r="167" spans="1:18" ht="76.5" x14ac:dyDescent="0.25">
      <c r="A167" s="32" t="s">
        <v>273</v>
      </c>
      <c r="B167" s="25" t="s">
        <v>25</v>
      </c>
      <c r="C167" s="36" t="s">
        <v>152</v>
      </c>
      <c r="D167" s="32" t="s">
        <v>51</v>
      </c>
      <c r="E167" s="32">
        <f>E168+E170</f>
        <v>180015.9</v>
      </c>
      <c r="F167" s="32">
        <f t="shared" ref="F167:J167" si="79">F168+F170</f>
        <v>33600.5</v>
      </c>
      <c r="G167" s="32">
        <f t="shared" si="79"/>
        <v>35292.6</v>
      </c>
      <c r="H167" s="32">
        <f t="shared" si="79"/>
        <v>35277.599999999999</v>
      </c>
      <c r="I167" s="32">
        <f t="shared" si="79"/>
        <v>32455.4</v>
      </c>
      <c r="J167" s="32">
        <f t="shared" si="79"/>
        <v>43389.8</v>
      </c>
      <c r="K167" s="36" t="s">
        <v>274</v>
      </c>
      <c r="L167" s="17" t="s">
        <v>33</v>
      </c>
      <c r="M167" s="17">
        <v>72.8</v>
      </c>
      <c r="N167" s="17">
        <v>73</v>
      </c>
      <c r="O167" s="17">
        <v>73.2</v>
      </c>
      <c r="P167" s="17">
        <v>73.5</v>
      </c>
      <c r="Q167" s="17">
        <v>73.5</v>
      </c>
      <c r="R167" s="17">
        <v>73.5</v>
      </c>
    </row>
    <row r="168" spans="1:18" ht="76.5" x14ac:dyDescent="0.25">
      <c r="A168" s="32" t="s">
        <v>275</v>
      </c>
      <c r="B168" s="25" t="s">
        <v>25</v>
      </c>
      <c r="C168" s="36" t="s">
        <v>152</v>
      </c>
      <c r="D168" s="32" t="s">
        <v>51</v>
      </c>
      <c r="E168" s="32">
        <f>E169</f>
        <v>177301.69999999998</v>
      </c>
      <c r="F168" s="32">
        <f t="shared" ref="F168:J168" si="80">F169</f>
        <v>33149.599999999999</v>
      </c>
      <c r="G168" s="32">
        <f t="shared" si="80"/>
        <v>34833.799999999996</v>
      </c>
      <c r="H168" s="32">
        <f t="shared" si="80"/>
        <v>34818.799999999996</v>
      </c>
      <c r="I168" s="32">
        <f t="shared" si="80"/>
        <v>31920.9</v>
      </c>
      <c r="J168" s="32">
        <f t="shared" si="80"/>
        <v>42578.600000000006</v>
      </c>
      <c r="K168" s="36" t="s">
        <v>276</v>
      </c>
      <c r="L168" s="17" t="s">
        <v>33</v>
      </c>
      <c r="M168" s="17">
        <v>100</v>
      </c>
      <c r="N168" s="17">
        <v>100</v>
      </c>
      <c r="O168" s="17">
        <v>100</v>
      </c>
      <c r="P168" s="17">
        <v>100</v>
      </c>
      <c r="Q168" s="17">
        <v>100</v>
      </c>
      <c r="R168" s="17">
        <v>100</v>
      </c>
    </row>
    <row r="169" spans="1:18" ht="89.25" x14ac:dyDescent="0.25">
      <c r="A169" s="32" t="s">
        <v>277</v>
      </c>
      <c r="B169" s="25" t="s">
        <v>25</v>
      </c>
      <c r="C169" s="36" t="s">
        <v>152</v>
      </c>
      <c r="D169" s="32" t="s">
        <v>51</v>
      </c>
      <c r="E169" s="31">
        <f>F169+G169+H169+I169+J169</f>
        <v>177301.69999999998</v>
      </c>
      <c r="F169" s="32">
        <f>33600.5-F170</f>
        <v>33149.599999999999</v>
      </c>
      <c r="G169" s="31">
        <f>35277.6+15-G170</f>
        <v>34833.799999999996</v>
      </c>
      <c r="H169" s="31">
        <f>35277.6-H170</f>
        <v>34818.799999999996</v>
      </c>
      <c r="I169" s="31">
        <f>32455.4-I170</f>
        <v>31920.9</v>
      </c>
      <c r="J169" s="31">
        <f>43389.8-J170</f>
        <v>42578.600000000006</v>
      </c>
      <c r="K169" s="36" t="s">
        <v>278</v>
      </c>
      <c r="L169" s="17" t="s">
        <v>279</v>
      </c>
      <c r="M169" s="17">
        <v>7</v>
      </c>
      <c r="N169" s="17">
        <v>7</v>
      </c>
      <c r="O169" s="17">
        <v>2</v>
      </c>
      <c r="P169" s="17">
        <v>2</v>
      </c>
      <c r="Q169" s="17">
        <v>2</v>
      </c>
      <c r="R169" s="17">
        <v>2</v>
      </c>
    </row>
    <row r="170" spans="1:18" ht="76.5" x14ac:dyDescent="0.25">
      <c r="A170" s="32" t="s">
        <v>280</v>
      </c>
      <c r="B170" s="25" t="s">
        <v>25</v>
      </c>
      <c r="C170" s="36" t="s">
        <v>152</v>
      </c>
      <c r="D170" s="32" t="s">
        <v>51</v>
      </c>
      <c r="E170" s="32">
        <f>E171+E172</f>
        <v>2714.2</v>
      </c>
      <c r="F170" s="32">
        <f t="shared" ref="F170:J170" si="81">F171+F172</f>
        <v>450.9</v>
      </c>
      <c r="G170" s="32">
        <f t="shared" si="81"/>
        <v>458.80000000000007</v>
      </c>
      <c r="H170" s="32">
        <f t="shared" si="81"/>
        <v>458.80000000000007</v>
      </c>
      <c r="I170" s="32">
        <f t="shared" si="81"/>
        <v>534.5</v>
      </c>
      <c r="J170" s="32">
        <f t="shared" si="81"/>
        <v>811.2</v>
      </c>
      <c r="K170" s="36" t="s">
        <v>281</v>
      </c>
      <c r="L170" s="17" t="s">
        <v>115</v>
      </c>
      <c r="M170" s="17">
        <v>7</v>
      </c>
      <c r="N170" s="17">
        <v>7</v>
      </c>
      <c r="O170" s="17">
        <v>2</v>
      </c>
      <c r="P170" s="17">
        <v>2</v>
      </c>
      <c r="Q170" s="17">
        <v>2</v>
      </c>
      <c r="R170" s="17">
        <v>2</v>
      </c>
    </row>
    <row r="171" spans="1:18" ht="63.75" x14ac:dyDescent="0.25">
      <c r="A171" s="32" t="s">
        <v>156</v>
      </c>
      <c r="B171" s="25" t="s">
        <v>25</v>
      </c>
      <c r="C171" s="36" t="s">
        <v>152</v>
      </c>
      <c r="D171" s="32" t="s">
        <v>51</v>
      </c>
      <c r="E171" s="31">
        <f>F171+G171+H171+I171+J171</f>
        <v>9.6</v>
      </c>
      <c r="F171" s="31">
        <v>0</v>
      </c>
      <c r="G171" s="31">
        <v>0</v>
      </c>
      <c r="H171" s="31">
        <f>G171</f>
        <v>0</v>
      </c>
      <c r="I171" s="31">
        <v>2</v>
      </c>
      <c r="J171" s="31">
        <v>7.6</v>
      </c>
      <c r="K171" s="36" t="s">
        <v>282</v>
      </c>
      <c r="L171" s="17" t="s">
        <v>115</v>
      </c>
      <c r="M171" s="17">
        <v>7</v>
      </c>
      <c r="N171" s="17">
        <v>7</v>
      </c>
      <c r="O171" s="17">
        <v>2</v>
      </c>
      <c r="P171" s="17">
        <v>2</v>
      </c>
      <c r="Q171" s="17">
        <v>2</v>
      </c>
      <c r="R171" s="17">
        <v>2</v>
      </c>
    </row>
    <row r="172" spans="1:18" ht="76.5" x14ac:dyDescent="0.25">
      <c r="A172" s="32" t="s">
        <v>283</v>
      </c>
      <c r="B172" s="25" t="s">
        <v>25</v>
      </c>
      <c r="C172" s="36" t="s">
        <v>152</v>
      </c>
      <c r="D172" s="32" t="s">
        <v>51</v>
      </c>
      <c r="E172" s="31">
        <f>F172+G172+H172+I172+J172</f>
        <v>2704.6</v>
      </c>
      <c r="F172" s="32">
        <v>450.9</v>
      </c>
      <c r="G172" s="31">
        <f>[1]доп.!J179-279.9</f>
        <v>458.80000000000007</v>
      </c>
      <c r="H172" s="31">
        <f>G172</f>
        <v>458.80000000000007</v>
      </c>
      <c r="I172" s="31">
        <f>738.7-206.2</f>
        <v>532.5</v>
      </c>
      <c r="J172" s="31">
        <v>803.6</v>
      </c>
      <c r="K172" s="36" t="s">
        <v>284</v>
      </c>
      <c r="L172" s="17" t="s">
        <v>115</v>
      </c>
      <c r="M172" s="17">
        <v>7</v>
      </c>
      <c r="N172" s="17">
        <v>7</v>
      </c>
      <c r="O172" s="17">
        <v>2</v>
      </c>
      <c r="P172" s="17">
        <v>2</v>
      </c>
      <c r="Q172" s="17">
        <v>2</v>
      </c>
      <c r="R172" s="17">
        <v>2</v>
      </c>
    </row>
    <row r="173" spans="1:18" ht="63.75" x14ac:dyDescent="0.25">
      <c r="A173" s="32" t="s">
        <v>285</v>
      </c>
      <c r="B173" s="25" t="s">
        <v>25</v>
      </c>
      <c r="C173" s="36" t="s">
        <v>152</v>
      </c>
      <c r="D173" s="32" t="s">
        <v>51</v>
      </c>
      <c r="E173" s="32">
        <f t="shared" ref="E173:J173" si="82">E174+E182+E188+E193+E204+E209+E211</f>
        <v>5454.3</v>
      </c>
      <c r="F173" s="32">
        <f t="shared" si="82"/>
        <v>326.5</v>
      </c>
      <c r="G173" s="32">
        <f t="shared" si="82"/>
        <v>182.8</v>
      </c>
      <c r="H173" s="32">
        <f t="shared" si="82"/>
        <v>118.6</v>
      </c>
      <c r="I173" s="32">
        <f t="shared" si="82"/>
        <v>109.1</v>
      </c>
      <c r="J173" s="32">
        <f t="shared" si="82"/>
        <v>4717.3</v>
      </c>
      <c r="K173" s="36" t="s">
        <v>286</v>
      </c>
      <c r="L173" s="17" t="s">
        <v>115</v>
      </c>
      <c r="M173" s="17">
        <v>7</v>
      </c>
      <c r="N173" s="17">
        <v>7</v>
      </c>
      <c r="O173" s="17">
        <v>2</v>
      </c>
      <c r="P173" s="17">
        <v>2</v>
      </c>
      <c r="Q173" s="17">
        <v>2</v>
      </c>
      <c r="R173" s="17">
        <v>2</v>
      </c>
    </row>
    <row r="174" spans="1:18" ht="102" x14ac:dyDescent="0.25">
      <c r="A174" s="32" t="s">
        <v>287</v>
      </c>
      <c r="B174" s="25" t="s">
        <v>25</v>
      </c>
      <c r="C174" s="36" t="s">
        <v>152</v>
      </c>
      <c r="D174" s="32" t="s">
        <v>51</v>
      </c>
      <c r="E174" s="32">
        <f>E175+E176+E177+E178+E179+E180+E181</f>
        <v>2208.5</v>
      </c>
      <c r="F174" s="32">
        <f t="shared" ref="F174:J174" si="83">F175+F176+F177+F178+F179+F180+F181</f>
        <v>0</v>
      </c>
      <c r="G174" s="32">
        <f t="shared" si="83"/>
        <v>0</v>
      </c>
      <c r="H174" s="32">
        <f t="shared" si="83"/>
        <v>0</v>
      </c>
      <c r="I174" s="32">
        <f t="shared" si="83"/>
        <v>0</v>
      </c>
      <c r="J174" s="32">
        <f t="shared" si="83"/>
        <v>2208.5</v>
      </c>
      <c r="K174" s="36" t="s">
        <v>288</v>
      </c>
      <c r="L174" s="17" t="s">
        <v>115</v>
      </c>
      <c r="M174" s="17">
        <v>7</v>
      </c>
      <c r="N174" s="17">
        <v>0</v>
      </c>
      <c r="O174" s="17">
        <v>0</v>
      </c>
      <c r="P174" s="17">
        <v>0</v>
      </c>
      <c r="Q174" s="17">
        <v>0</v>
      </c>
      <c r="R174" s="17">
        <v>2</v>
      </c>
    </row>
    <row r="175" spans="1:18" ht="102" x14ac:dyDescent="0.25">
      <c r="A175" s="32" t="s">
        <v>166</v>
      </c>
      <c r="B175" s="25" t="s">
        <v>25</v>
      </c>
      <c r="C175" s="36" t="s">
        <v>152</v>
      </c>
      <c r="D175" s="32" t="s">
        <v>51</v>
      </c>
      <c r="E175" s="31">
        <f>F175+G175+H175+I175+J175</f>
        <v>700</v>
      </c>
      <c r="F175" s="32">
        <v>0</v>
      </c>
      <c r="G175" s="31">
        <v>0</v>
      </c>
      <c r="H175" s="31">
        <v>0</v>
      </c>
      <c r="I175" s="31">
        <v>0</v>
      </c>
      <c r="J175" s="31">
        <f>600+100</f>
        <v>700</v>
      </c>
      <c r="K175" s="36" t="s">
        <v>289</v>
      </c>
      <c r="L175" s="17" t="s">
        <v>290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2</v>
      </c>
    </row>
    <row r="176" spans="1:18" ht="60" x14ac:dyDescent="0.25">
      <c r="A176" s="32" t="s">
        <v>168</v>
      </c>
      <c r="B176" s="25" t="s">
        <v>25</v>
      </c>
      <c r="C176" s="36" t="s">
        <v>152</v>
      </c>
      <c r="D176" s="32" t="s">
        <v>51</v>
      </c>
      <c r="E176" s="31">
        <f t="shared" ref="E176:E181" si="84">F176+G176+H176+I176+J176</f>
        <v>114.7</v>
      </c>
      <c r="F176" s="32">
        <v>0</v>
      </c>
      <c r="G176" s="31">
        <v>0</v>
      </c>
      <c r="H176" s="31">
        <v>0</v>
      </c>
      <c r="I176" s="31">
        <f>ROUND(H176*1.043,1)</f>
        <v>0</v>
      </c>
      <c r="J176" s="31">
        <v>114.7</v>
      </c>
      <c r="K176" s="36" t="s">
        <v>291</v>
      </c>
      <c r="L176" s="17" t="s">
        <v>39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1</v>
      </c>
    </row>
    <row r="177" spans="1:18" ht="76.5" x14ac:dyDescent="0.25">
      <c r="A177" s="32" t="s">
        <v>170</v>
      </c>
      <c r="B177" s="25" t="s">
        <v>25</v>
      </c>
      <c r="C177" s="36" t="s">
        <v>152</v>
      </c>
      <c r="D177" s="32" t="s">
        <v>51</v>
      </c>
      <c r="E177" s="31">
        <f t="shared" si="84"/>
        <v>15</v>
      </c>
      <c r="F177" s="32">
        <v>0</v>
      </c>
      <c r="G177" s="32">
        <f>ROUND(G175*2.14/100,1)</f>
        <v>0</v>
      </c>
      <c r="H177" s="32">
        <f t="shared" ref="H177:J177" si="85">ROUND(H175*2.14/100,1)</f>
        <v>0</v>
      </c>
      <c r="I177" s="32">
        <f t="shared" si="85"/>
        <v>0</v>
      </c>
      <c r="J177" s="32">
        <f t="shared" si="85"/>
        <v>15</v>
      </c>
      <c r="K177" s="36" t="s">
        <v>292</v>
      </c>
      <c r="L177" s="17" t="s">
        <v>39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2</v>
      </c>
    </row>
    <row r="178" spans="1:18" ht="63.75" x14ac:dyDescent="0.25">
      <c r="A178" s="32" t="s">
        <v>172</v>
      </c>
      <c r="B178" s="25" t="s">
        <v>25</v>
      </c>
      <c r="C178" s="36" t="s">
        <v>152</v>
      </c>
      <c r="D178" s="32" t="s">
        <v>51</v>
      </c>
      <c r="E178" s="31">
        <f t="shared" si="84"/>
        <v>1187.5</v>
      </c>
      <c r="F178" s="32">
        <v>0</v>
      </c>
      <c r="G178" s="31">
        <v>0</v>
      </c>
      <c r="H178" s="31">
        <v>0</v>
      </c>
      <c r="I178" s="31">
        <v>0</v>
      </c>
      <c r="J178" s="31">
        <v>1187.5</v>
      </c>
      <c r="K178" s="36" t="s">
        <v>173</v>
      </c>
      <c r="L178" s="17" t="s">
        <v>39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</v>
      </c>
    </row>
    <row r="179" spans="1:18" ht="76.5" x14ac:dyDescent="0.25">
      <c r="A179" s="32" t="s">
        <v>174</v>
      </c>
      <c r="B179" s="25" t="s">
        <v>25</v>
      </c>
      <c r="C179" s="36" t="s">
        <v>152</v>
      </c>
      <c r="D179" s="32" t="s">
        <v>51</v>
      </c>
      <c r="E179" s="31">
        <f t="shared" si="84"/>
        <v>57.5</v>
      </c>
      <c r="F179" s="32">
        <v>0</v>
      </c>
      <c r="G179" s="31">
        <v>0</v>
      </c>
      <c r="H179" s="31">
        <v>0</v>
      </c>
      <c r="I179" s="31">
        <v>0</v>
      </c>
      <c r="J179" s="31">
        <v>57.5</v>
      </c>
      <c r="K179" s="36" t="s">
        <v>293</v>
      </c>
      <c r="L179" s="17" t="s">
        <v>115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1</v>
      </c>
    </row>
    <row r="180" spans="1:18" ht="89.25" x14ac:dyDescent="0.25">
      <c r="A180" s="32" t="s">
        <v>176</v>
      </c>
      <c r="B180" s="25" t="s">
        <v>25</v>
      </c>
      <c r="C180" s="36" t="s">
        <v>152</v>
      </c>
      <c r="D180" s="32" t="s">
        <v>51</v>
      </c>
      <c r="E180" s="31">
        <f t="shared" si="84"/>
        <v>22.3</v>
      </c>
      <c r="F180" s="32">
        <v>0</v>
      </c>
      <c r="G180" s="31">
        <v>0</v>
      </c>
      <c r="H180" s="31">
        <v>0</v>
      </c>
      <c r="I180" s="31">
        <v>0</v>
      </c>
      <c r="J180" s="31">
        <v>22.3</v>
      </c>
      <c r="K180" s="36" t="s">
        <v>294</v>
      </c>
      <c r="L180" s="17" t="s">
        <v>115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1</v>
      </c>
    </row>
    <row r="181" spans="1:18" ht="76.5" x14ac:dyDescent="0.25">
      <c r="A181" s="32" t="s">
        <v>177</v>
      </c>
      <c r="B181" s="25" t="s">
        <v>25</v>
      </c>
      <c r="C181" s="36" t="s">
        <v>152</v>
      </c>
      <c r="D181" s="32" t="s">
        <v>51</v>
      </c>
      <c r="E181" s="31">
        <f t="shared" si="84"/>
        <v>111.5</v>
      </c>
      <c r="F181" s="32">
        <v>0</v>
      </c>
      <c r="G181" s="31">
        <v>0</v>
      </c>
      <c r="H181" s="31">
        <v>0</v>
      </c>
      <c r="I181" s="31">
        <v>0</v>
      </c>
      <c r="J181" s="31">
        <v>111.5</v>
      </c>
      <c r="K181" s="36" t="s">
        <v>295</v>
      </c>
      <c r="L181" s="17" t="s">
        <v>296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</row>
    <row r="182" spans="1:18" ht="76.5" x14ac:dyDescent="0.25">
      <c r="A182" s="32" t="s">
        <v>297</v>
      </c>
      <c r="B182" s="25" t="s">
        <v>25</v>
      </c>
      <c r="C182" s="36" t="s">
        <v>152</v>
      </c>
      <c r="D182" s="32" t="s">
        <v>51</v>
      </c>
      <c r="E182" s="32">
        <f>E183+E184+E185+E186+E187</f>
        <v>461.90000000000003</v>
      </c>
      <c r="F182" s="32">
        <f t="shared" ref="F182:J182" si="86">F183+F184+F185+F186+F187</f>
        <v>0</v>
      </c>
      <c r="G182" s="32">
        <f t="shared" si="86"/>
        <v>0</v>
      </c>
      <c r="H182" s="32">
        <f t="shared" si="86"/>
        <v>0</v>
      </c>
      <c r="I182" s="32">
        <f t="shared" si="86"/>
        <v>0</v>
      </c>
      <c r="J182" s="32">
        <f t="shared" si="86"/>
        <v>461.90000000000003</v>
      </c>
      <c r="K182" s="36" t="s">
        <v>298</v>
      </c>
      <c r="L182" s="17" t="s">
        <v>33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100</v>
      </c>
    </row>
    <row r="183" spans="1:18" ht="76.5" x14ac:dyDescent="0.25">
      <c r="A183" s="32" t="s">
        <v>80</v>
      </c>
      <c r="B183" s="25" t="s">
        <v>25</v>
      </c>
      <c r="C183" s="36" t="s">
        <v>152</v>
      </c>
      <c r="D183" s="32" t="s">
        <v>51</v>
      </c>
      <c r="E183" s="31">
        <f>F183+G183+H183+I183+J183</f>
        <v>226</v>
      </c>
      <c r="F183" s="32">
        <v>0</v>
      </c>
      <c r="G183" s="31">
        <v>0</v>
      </c>
      <c r="H183" s="31">
        <v>0</v>
      </c>
      <c r="I183" s="31">
        <v>0</v>
      </c>
      <c r="J183" s="31">
        <v>226</v>
      </c>
      <c r="K183" s="36" t="s">
        <v>299</v>
      </c>
      <c r="L183" s="17" t="s">
        <v>39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2</v>
      </c>
    </row>
    <row r="184" spans="1:18" ht="63.75" x14ac:dyDescent="0.25">
      <c r="A184" s="32" t="s">
        <v>300</v>
      </c>
      <c r="B184" s="25" t="s">
        <v>25</v>
      </c>
      <c r="C184" s="36" t="s">
        <v>152</v>
      </c>
      <c r="D184" s="32" t="s">
        <v>51</v>
      </c>
      <c r="E184" s="31">
        <f t="shared" ref="E184:E186" si="87">F184+G184+H184+I184+J184</f>
        <v>93.3</v>
      </c>
      <c r="F184" s="32">
        <v>0</v>
      </c>
      <c r="G184" s="31">
        <f t="shared" ref="G184:G199" si="88">ROUND(F184*1.063,1)</f>
        <v>0</v>
      </c>
      <c r="H184" s="31">
        <f t="shared" ref="H184:H186" si="89">ROUND(G184*1.049,1)</f>
        <v>0</v>
      </c>
      <c r="I184" s="31">
        <v>0</v>
      </c>
      <c r="J184" s="31">
        <v>93.3</v>
      </c>
      <c r="K184" s="36" t="s">
        <v>301</v>
      </c>
      <c r="L184" s="17" t="s">
        <v>39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2</v>
      </c>
    </row>
    <row r="185" spans="1:18" ht="76.5" x14ac:dyDescent="0.25">
      <c r="A185" s="32" t="s">
        <v>302</v>
      </c>
      <c r="B185" s="25" t="s">
        <v>25</v>
      </c>
      <c r="C185" s="36" t="s">
        <v>152</v>
      </c>
      <c r="D185" s="32" t="s">
        <v>51</v>
      </c>
      <c r="E185" s="31">
        <f t="shared" si="87"/>
        <v>11.1</v>
      </c>
      <c r="F185" s="32">
        <v>0</v>
      </c>
      <c r="G185" s="31">
        <v>0</v>
      </c>
      <c r="H185" s="31">
        <v>0</v>
      </c>
      <c r="I185" s="31">
        <v>0</v>
      </c>
      <c r="J185" s="31">
        <v>11.1</v>
      </c>
      <c r="K185" s="36" t="s">
        <v>303</v>
      </c>
      <c r="L185" s="17" t="s">
        <v>39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2</v>
      </c>
    </row>
    <row r="186" spans="1:18" ht="76.5" x14ac:dyDescent="0.25">
      <c r="A186" s="32" t="s">
        <v>304</v>
      </c>
      <c r="B186" s="25" t="s">
        <v>25</v>
      </c>
      <c r="C186" s="36" t="s">
        <v>152</v>
      </c>
      <c r="D186" s="32" t="s">
        <v>51</v>
      </c>
      <c r="E186" s="31">
        <f t="shared" si="87"/>
        <v>1.5</v>
      </c>
      <c r="F186" s="32">
        <v>0</v>
      </c>
      <c r="G186" s="31">
        <f t="shared" si="88"/>
        <v>0</v>
      </c>
      <c r="H186" s="31">
        <f t="shared" si="89"/>
        <v>0</v>
      </c>
      <c r="I186" s="31">
        <v>0</v>
      </c>
      <c r="J186" s="31">
        <v>1.5</v>
      </c>
      <c r="K186" s="36" t="s">
        <v>305</v>
      </c>
      <c r="L186" s="17" t="s">
        <v>39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1</v>
      </c>
    </row>
    <row r="187" spans="1:18" ht="76.5" x14ac:dyDescent="0.25">
      <c r="A187" s="32" t="s">
        <v>306</v>
      </c>
      <c r="B187" s="25" t="s">
        <v>25</v>
      </c>
      <c r="C187" s="36" t="s">
        <v>152</v>
      </c>
      <c r="D187" s="32" t="s">
        <v>51</v>
      </c>
      <c r="E187" s="31">
        <f>F187+G187+H187+I187+J187</f>
        <v>130</v>
      </c>
      <c r="F187" s="32">
        <v>0</v>
      </c>
      <c r="G187" s="31">
        <v>0</v>
      </c>
      <c r="H187" s="31">
        <v>0</v>
      </c>
      <c r="I187" s="31">
        <f>ROUND(H187*1.043,1)</f>
        <v>0</v>
      </c>
      <c r="J187" s="31">
        <v>130</v>
      </c>
      <c r="K187" s="36" t="s">
        <v>307</v>
      </c>
      <c r="L187" s="17" t="s">
        <v>39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</v>
      </c>
    </row>
    <row r="188" spans="1:18" ht="76.5" x14ac:dyDescent="0.25">
      <c r="A188" s="32" t="s">
        <v>308</v>
      </c>
      <c r="B188" s="25" t="s">
        <v>25</v>
      </c>
      <c r="C188" s="36" t="s">
        <v>152</v>
      </c>
      <c r="D188" s="32" t="s">
        <v>51</v>
      </c>
      <c r="E188" s="32">
        <f>E189+E190+E191+E192</f>
        <v>575</v>
      </c>
      <c r="F188" s="32">
        <f t="shared" ref="F188:J188" si="90">F189+F190+F191+F192</f>
        <v>48</v>
      </c>
      <c r="G188" s="32">
        <f t="shared" si="90"/>
        <v>40</v>
      </c>
      <c r="H188" s="32">
        <f t="shared" si="90"/>
        <v>13.9</v>
      </c>
      <c r="I188" s="32">
        <f t="shared" si="90"/>
        <v>12.8</v>
      </c>
      <c r="J188" s="32">
        <f t="shared" si="90"/>
        <v>460.3</v>
      </c>
      <c r="K188" s="36" t="s">
        <v>309</v>
      </c>
      <c r="L188" s="17" t="s">
        <v>115</v>
      </c>
      <c r="M188" s="17">
        <v>7</v>
      </c>
      <c r="N188" s="17">
        <v>7</v>
      </c>
      <c r="O188" s="17">
        <v>2</v>
      </c>
      <c r="P188" s="17">
        <v>2</v>
      </c>
      <c r="Q188" s="17">
        <v>2</v>
      </c>
      <c r="R188" s="17">
        <v>2</v>
      </c>
    </row>
    <row r="189" spans="1:18" ht="63.75" x14ac:dyDescent="0.25">
      <c r="A189" s="32" t="s">
        <v>310</v>
      </c>
      <c r="B189" s="25" t="s">
        <v>25</v>
      </c>
      <c r="C189" s="36" t="s">
        <v>152</v>
      </c>
      <c r="D189" s="32" t="s">
        <v>51</v>
      </c>
      <c r="E189" s="31">
        <f>F189+G189+H189+I189+J189</f>
        <v>6.3</v>
      </c>
      <c r="F189" s="32">
        <v>0</v>
      </c>
      <c r="G189" s="31">
        <v>0</v>
      </c>
      <c r="H189" s="31">
        <v>0</v>
      </c>
      <c r="I189" s="31">
        <v>0</v>
      </c>
      <c r="J189" s="31">
        <f>'[1]охр.тр. обуч.'!O73</f>
        <v>6.3</v>
      </c>
      <c r="K189" s="36" t="s">
        <v>311</v>
      </c>
      <c r="L189" s="17" t="s">
        <v>47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2</v>
      </c>
    </row>
    <row r="190" spans="1:18" ht="76.5" x14ac:dyDescent="0.25">
      <c r="A190" s="32" t="s">
        <v>312</v>
      </c>
      <c r="B190" s="25" t="s">
        <v>25</v>
      </c>
      <c r="C190" s="36" t="s">
        <v>152</v>
      </c>
      <c r="D190" s="32" t="s">
        <v>51</v>
      </c>
      <c r="E190" s="31">
        <f t="shared" ref="E190:E192" si="91">F190+G190+H190+I190+J190</f>
        <v>467.2</v>
      </c>
      <c r="F190" s="32">
        <v>48</v>
      </c>
      <c r="G190" s="31">
        <f>13.9+26.1</f>
        <v>40</v>
      </c>
      <c r="H190" s="31">
        <v>13.9</v>
      </c>
      <c r="I190" s="31">
        <f>13.9-1.1</f>
        <v>12.8</v>
      </c>
      <c r="J190" s="31">
        <v>352.5</v>
      </c>
      <c r="K190" s="36" t="s">
        <v>313</v>
      </c>
      <c r="L190" s="17" t="s">
        <v>47</v>
      </c>
      <c r="M190" s="17">
        <v>114</v>
      </c>
      <c r="N190" s="17">
        <v>114</v>
      </c>
      <c r="O190" s="17">
        <v>114</v>
      </c>
      <c r="P190" s="17">
        <v>114</v>
      </c>
      <c r="Q190" s="17">
        <v>114</v>
      </c>
      <c r="R190" s="17">
        <v>114</v>
      </c>
    </row>
    <row r="191" spans="1:18" ht="63.75" x14ac:dyDescent="0.25">
      <c r="A191" s="32" t="s">
        <v>314</v>
      </c>
      <c r="B191" s="25" t="s">
        <v>25</v>
      </c>
      <c r="C191" s="36" t="s">
        <v>152</v>
      </c>
      <c r="D191" s="32" t="s">
        <v>51</v>
      </c>
      <c r="E191" s="31">
        <f t="shared" si="91"/>
        <v>40</v>
      </c>
      <c r="F191" s="32">
        <v>0</v>
      </c>
      <c r="G191" s="31">
        <v>0</v>
      </c>
      <c r="H191" s="31">
        <v>0</v>
      </c>
      <c r="I191" s="31">
        <v>0</v>
      </c>
      <c r="J191" s="31">
        <v>40</v>
      </c>
      <c r="K191" s="36" t="s">
        <v>315</v>
      </c>
      <c r="L191" s="17" t="s">
        <v>115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20</v>
      </c>
    </row>
    <row r="192" spans="1:18" ht="76.5" x14ac:dyDescent="0.25">
      <c r="A192" s="32" t="s">
        <v>316</v>
      </c>
      <c r="B192" s="25" t="s">
        <v>25</v>
      </c>
      <c r="C192" s="36" t="s">
        <v>152</v>
      </c>
      <c r="D192" s="32" t="s">
        <v>51</v>
      </c>
      <c r="E192" s="31">
        <f t="shared" si="91"/>
        <v>61.5</v>
      </c>
      <c r="F192" s="32">
        <v>0</v>
      </c>
      <c r="G192" s="31">
        <v>0</v>
      </c>
      <c r="H192" s="31">
        <f>G192</f>
        <v>0</v>
      </c>
      <c r="I192" s="31">
        <f>ROUND(H192*1.043,1)</f>
        <v>0</v>
      </c>
      <c r="J192" s="31">
        <v>61.5</v>
      </c>
      <c r="K192" s="36" t="s">
        <v>317</v>
      </c>
      <c r="L192" s="17" t="s">
        <v>115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2</v>
      </c>
    </row>
    <row r="193" spans="1:18" ht="63.75" x14ac:dyDescent="0.25">
      <c r="A193" s="32" t="s">
        <v>318</v>
      </c>
      <c r="B193" s="25" t="s">
        <v>25</v>
      </c>
      <c r="C193" s="36" t="s">
        <v>152</v>
      </c>
      <c r="D193" s="32" t="s">
        <v>51</v>
      </c>
      <c r="E193" s="32">
        <f>E194+E195+E196++E197+E198+E199+E200+E201+E202+E203</f>
        <v>409.40000000000003</v>
      </c>
      <c r="F193" s="32">
        <f t="shared" ref="F193:J193" si="92">F194+F195+F196++F197+F198+F199+F200+F201+F202+F203</f>
        <v>44</v>
      </c>
      <c r="G193" s="54">
        <f>G194+G195+G196++G197+G198+G199+G200+G201+G202+G203</f>
        <v>50.8</v>
      </c>
      <c r="H193" s="32">
        <f t="shared" si="92"/>
        <v>12.7</v>
      </c>
      <c r="I193" s="32">
        <f t="shared" si="92"/>
        <v>11.7</v>
      </c>
      <c r="J193" s="32">
        <f t="shared" si="92"/>
        <v>290.2</v>
      </c>
      <c r="K193" s="36" t="s">
        <v>319</v>
      </c>
      <c r="L193" s="17" t="s">
        <v>115</v>
      </c>
      <c r="M193" s="17">
        <v>7</v>
      </c>
      <c r="N193" s="17">
        <v>7</v>
      </c>
      <c r="O193" s="17">
        <v>2</v>
      </c>
      <c r="P193" s="17">
        <v>2</v>
      </c>
      <c r="Q193" s="17">
        <v>2</v>
      </c>
      <c r="R193" s="17">
        <v>2</v>
      </c>
    </row>
    <row r="194" spans="1:18" ht="76.5" x14ac:dyDescent="0.25">
      <c r="A194" s="32" t="s">
        <v>320</v>
      </c>
      <c r="B194" s="25" t="s">
        <v>25</v>
      </c>
      <c r="C194" s="36" t="s">
        <v>152</v>
      </c>
      <c r="D194" s="32" t="s">
        <v>51</v>
      </c>
      <c r="E194" s="31">
        <f t="shared" ref="E194:E203" si="93">F194+G194+H194+I194+J194</f>
        <v>16.3</v>
      </c>
      <c r="F194" s="32">
        <v>0</v>
      </c>
      <c r="G194" s="53">
        <v>0</v>
      </c>
      <c r="H194" s="31">
        <f>G194</f>
        <v>0</v>
      </c>
      <c r="I194" s="31">
        <f>ROUND(H194*1.043,1)</f>
        <v>0</v>
      </c>
      <c r="J194" s="31">
        <v>16.3</v>
      </c>
      <c r="K194" s="36" t="s">
        <v>321</v>
      </c>
      <c r="L194" s="17" t="s">
        <v>115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2</v>
      </c>
    </row>
    <row r="195" spans="1:18" ht="63.75" x14ac:dyDescent="0.25">
      <c r="A195" s="32" t="s">
        <v>322</v>
      </c>
      <c r="B195" s="25" t="s">
        <v>25</v>
      </c>
      <c r="C195" s="36" t="s">
        <v>152</v>
      </c>
      <c r="D195" s="32" t="s">
        <v>51</v>
      </c>
      <c r="E195" s="31">
        <f t="shared" si="93"/>
        <v>19.8</v>
      </c>
      <c r="F195" s="32">
        <v>6.4</v>
      </c>
      <c r="G195" s="53">
        <v>0</v>
      </c>
      <c r="H195" s="31">
        <f>G195</f>
        <v>0</v>
      </c>
      <c r="I195" s="31">
        <f>ROUND(H195*1.043,1)</f>
        <v>0</v>
      </c>
      <c r="J195" s="31">
        <v>13.4</v>
      </c>
      <c r="K195" s="36" t="s">
        <v>323</v>
      </c>
      <c r="L195" s="17" t="s">
        <v>39</v>
      </c>
      <c r="M195" s="17">
        <v>7</v>
      </c>
      <c r="N195" s="17">
        <v>1</v>
      </c>
      <c r="O195" s="17">
        <v>0</v>
      </c>
      <c r="P195" s="17">
        <v>0</v>
      </c>
      <c r="Q195" s="17">
        <v>0</v>
      </c>
      <c r="R195" s="17">
        <v>2</v>
      </c>
    </row>
    <row r="196" spans="1:18" ht="76.5" x14ac:dyDescent="0.25">
      <c r="A196" s="32" t="s">
        <v>324</v>
      </c>
      <c r="B196" s="25" t="s">
        <v>25</v>
      </c>
      <c r="C196" s="36" t="s">
        <v>152</v>
      </c>
      <c r="D196" s="32" t="s">
        <v>51</v>
      </c>
      <c r="E196" s="31">
        <f t="shared" si="93"/>
        <v>3.3</v>
      </c>
      <c r="F196" s="32">
        <v>0</v>
      </c>
      <c r="G196" s="53">
        <v>0</v>
      </c>
      <c r="H196" s="31">
        <f>G196</f>
        <v>0</v>
      </c>
      <c r="I196" s="31">
        <f>ROUND(H196*1.043,1)</f>
        <v>0</v>
      </c>
      <c r="J196" s="31">
        <v>3.3</v>
      </c>
      <c r="K196" s="36" t="s">
        <v>325</v>
      </c>
      <c r="L196" s="17" t="s">
        <v>39</v>
      </c>
      <c r="M196" s="17">
        <v>7</v>
      </c>
      <c r="N196" s="17">
        <v>0</v>
      </c>
      <c r="O196" s="17">
        <v>0</v>
      </c>
      <c r="P196" s="17">
        <v>0</v>
      </c>
      <c r="Q196" s="17">
        <v>0</v>
      </c>
      <c r="R196" s="17">
        <v>2</v>
      </c>
    </row>
    <row r="197" spans="1:18" ht="76.5" x14ac:dyDescent="0.25">
      <c r="A197" s="32" t="s">
        <v>326</v>
      </c>
      <c r="B197" s="25" t="s">
        <v>25</v>
      </c>
      <c r="C197" s="36" t="s">
        <v>152</v>
      </c>
      <c r="D197" s="32" t="s">
        <v>51</v>
      </c>
      <c r="E197" s="31">
        <f t="shared" si="93"/>
        <v>94.4</v>
      </c>
      <c r="F197" s="32">
        <v>0</v>
      </c>
      <c r="G197" s="31">
        <f t="shared" si="88"/>
        <v>0</v>
      </c>
      <c r="H197" s="31">
        <f t="shared" ref="H197:H199" si="94">ROUND(G197*1.048,1)</f>
        <v>0</v>
      </c>
      <c r="I197" s="31">
        <v>0</v>
      </c>
      <c r="J197" s="31">
        <v>94.4</v>
      </c>
      <c r="K197" s="36" t="s">
        <v>327</v>
      </c>
      <c r="L197" s="17" t="s">
        <v>39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2</v>
      </c>
    </row>
    <row r="198" spans="1:18" ht="63.75" hidden="1" x14ac:dyDescent="0.25">
      <c r="A198" s="32" t="s">
        <v>328</v>
      </c>
      <c r="B198" s="25" t="s">
        <v>25</v>
      </c>
      <c r="C198" s="36" t="s">
        <v>152</v>
      </c>
      <c r="D198" s="32" t="s">
        <v>51</v>
      </c>
      <c r="E198" s="31">
        <f t="shared" si="93"/>
        <v>0</v>
      </c>
      <c r="F198" s="32">
        <v>0</v>
      </c>
      <c r="G198" s="31">
        <f t="shared" si="88"/>
        <v>0</v>
      </c>
      <c r="H198" s="31">
        <f t="shared" si="94"/>
        <v>0</v>
      </c>
      <c r="I198" s="31">
        <f t="shared" ref="I198:J203" si="95">ROUND(H198*1.043,1)</f>
        <v>0</v>
      </c>
      <c r="J198" s="31">
        <f t="shared" si="95"/>
        <v>0</v>
      </c>
      <c r="K198" s="36" t="s">
        <v>329</v>
      </c>
      <c r="L198" s="17" t="s">
        <v>39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</row>
    <row r="199" spans="1:18" ht="63.75" hidden="1" x14ac:dyDescent="0.25">
      <c r="A199" s="32" t="s">
        <v>330</v>
      </c>
      <c r="B199" s="25" t="s">
        <v>25</v>
      </c>
      <c r="C199" s="36" t="s">
        <v>152</v>
      </c>
      <c r="D199" s="32" t="s">
        <v>51</v>
      </c>
      <c r="E199" s="31">
        <f t="shared" si="93"/>
        <v>0</v>
      </c>
      <c r="F199" s="32">
        <v>0</v>
      </c>
      <c r="G199" s="31">
        <f t="shared" si="88"/>
        <v>0</v>
      </c>
      <c r="H199" s="31">
        <f t="shared" si="94"/>
        <v>0</v>
      </c>
      <c r="I199" s="31">
        <f t="shared" si="95"/>
        <v>0</v>
      </c>
      <c r="J199" s="31">
        <f t="shared" si="95"/>
        <v>0</v>
      </c>
      <c r="K199" s="36" t="s">
        <v>331</v>
      </c>
      <c r="L199" s="17" t="s">
        <v>39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</row>
    <row r="200" spans="1:18" ht="76.5" x14ac:dyDescent="0.25">
      <c r="A200" s="32" t="s">
        <v>332</v>
      </c>
      <c r="B200" s="25" t="s">
        <v>25</v>
      </c>
      <c r="C200" s="36" t="s">
        <v>152</v>
      </c>
      <c r="D200" s="32" t="s">
        <v>51</v>
      </c>
      <c r="E200" s="31">
        <f t="shared" si="93"/>
        <v>22.5</v>
      </c>
      <c r="F200" s="32">
        <v>0</v>
      </c>
      <c r="G200" s="31">
        <v>0</v>
      </c>
      <c r="H200" s="53">
        <v>0</v>
      </c>
      <c r="I200" s="31">
        <v>0</v>
      </c>
      <c r="J200" s="53">
        <f>'[1]пож.шк и доп'!H207</f>
        <v>22.5</v>
      </c>
      <c r="K200" s="36" t="s">
        <v>333</v>
      </c>
      <c r="L200" s="17" t="s">
        <v>39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1</v>
      </c>
    </row>
    <row r="201" spans="1:18" ht="89.25" x14ac:dyDescent="0.25">
      <c r="A201" s="32" t="s">
        <v>334</v>
      </c>
      <c r="B201" s="25" t="s">
        <v>25</v>
      </c>
      <c r="C201" s="36" t="s">
        <v>152</v>
      </c>
      <c r="D201" s="32" t="s">
        <v>51</v>
      </c>
      <c r="E201" s="31">
        <f t="shared" si="93"/>
        <v>229.3</v>
      </c>
      <c r="F201" s="32">
        <f>44-6.4</f>
        <v>37.6</v>
      </c>
      <c r="G201" s="53">
        <f>12.7+38.1</f>
        <v>50.8</v>
      </c>
      <c r="H201" s="53">
        <v>12.7</v>
      </c>
      <c r="I201" s="53">
        <f>12.7-1</f>
        <v>11.7</v>
      </c>
      <c r="J201" s="53">
        <f>'[1]пож.шк и доп'!I207+'[1]пож.шк и доп'!J207</f>
        <v>116.5</v>
      </c>
      <c r="K201" s="36" t="s">
        <v>335</v>
      </c>
      <c r="L201" s="17" t="s">
        <v>39</v>
      </c>
      <c r="M201" s="17">
        <v>6</v>
      </c>
      <c r="N201" s="17">
        <v>6</v>
      </c>
      <c r="O201" s="17">
        <v>1</v>
      </c>
      <c r="P201" s="17">
        <v>1</v>
      </c>
      <c r="Q201" s="17">
        <v>1</v>
      </c>
      <c r="R201" s="17">
        <v>1</v>
      </c>
    </row>
    <row r="202" spans="1:18" ht="63.75" x14ac:dyDescent="0.25">
      <c r="A202" s="32" t="s">
        <v>336</v>
      </c>
      <c r="B202" s="25" t="s">
        <v>25</v>
      </c>
      <c r="C202" s="36" t="s">
        <v>152</v>
      </c>
      <c r="D202" s="32" t="s">
        <v>51</v>
      </c>
      <c r="E202" s="31">
        <f t="shared" si="93"/>
        <v>14</v>
      </c>
      <c r="F202" s="32">
        <v>0</v>
      </c>
      <c r="G202" s="53">
        <v>0</v>
      </c>
      <c r="H202" s="31">
        <v>0</v>
      </c>
      <c r="I202" s="31">
        <f t="shared" si="95"/>
        <v>0</v>
      </c>
      <c r="J202" s="31">
        <v>14</v>
      </c>
      <c r="K202" s="36" t="s">
        <v>337</v>
      </c>
      <c r="L202" s="17" t="s">
        <v>39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</v>
      </c>
    </row>
    <row r="203" spans="1:18" ht="60" x14ac:dyDescent="0.25">
      <c r="A203" s="32" t="s">
        <v>338</v>
      </c>
      <c r="B203" s="25" t="s">
        <v>25</v>
      </c>
      <c r="C203" s="36" t="s">
        <v>152</v>
      </c>
      <c r="D203" s="32" t="s">
        <v>51</v>
      </c>
      <c r="E203" s="31">
        <f t="shared" si="93"/>
        <v>9.8000000000000007</v>
      </c>
      <c r="F203" s="32">
        <v>0</v>
      </c>
      <c r="G203" s="31">
        <v>0</v>
      </c>
      <c r="H203" s="31">
        <v>0</v>
      </c>
      <c r="I203" s="31">
        <f t="shared" si="95"/>
        <v>0</v>
      </c>
      <c r="J203" s="31">
        <v>9.8000000000000007</v>
      </c>
      <c r="K203" s="36" t="s">
        <v>339</v>
      </c>
      <c r="L203" s="39" t="s">
        <v>47</v>
      </c>
      <c r="M203" s="39">
        <v>0</v>
      </c>
      <c r="N203" s="39">
        <v>0</v>
      </c>
      <c r="O203" s="39">
        <v>3</v>
      </c>
      <c r="P203" s="39">
        <v>3</v>
      </c>
      <c r="Q203" s="39">
        <v>3</v>
      </c>
      <c r="R203" s="39">
        <v>3</v>
      </c>
    </row>
    <row r="204" spans="1:18" ht="76.5" x14ac:dyDescent="0.25">
      <c r="A204" s="32" t="s">
        <v>340</v>
      </c>
      <c r="B204" s="25" t="s">
        <v>25</v>
      </c>
      <c r="C204" s="36" t="s">
        <v>152</v>
      </c>
      <c r="D204" s="32" t="s">
        <v>51</v>
      </c>
      <c r="E204" s="32">
        <f>E205+E206+E207+E208</f>
        <v>591</v>
      </c>
      <c r="F204" s="32">
        <f t="shared" ref="F204:J204" si="96">F205+F206+F207+F208</f>
        <v>0</v>
      </c>
      <c r="G204" s="32">
        <f t="shared" si="96"/>
        <v>0</v>
      </c>
      <c r="H204" s="32">
        <f t="shared" si="96"/>
        <v>0</v>
      </c>
      <c r="I204" s="32">
        <f t="shared" si="96"/>
        <v>0</v>
      </c>
      <c r="J204" s="32">
        <f t="shared" si="96"/>
        <v>591</v>
      </c>
      <c r="K204" s="48" t="s">
        <v>341</v>
      </c>
      <c r="L204" s="56" t="s">
        <v>90</v>
      </c>
      <c r="M204" s="40">
        <v>7</v>
      </c>
      <c r="N204" s="40">
        <v>0</v>
      </c>
      <c r="O204" s="40">
        <v>0</v>
      </c>
      <c r="P204" s="40">
        <v>0</v>
      </c>
      <c r="Q204" s="40">
        <v>0</v>
      </c>
      <c r="R204" s="40">
        <v>2</v>
      </c>
    </row>
    <row r="205" spans="1:18" ht="63.75" x14ac:dyDescent="0.25">
      <c r="A205" s="32" t="s">
        <v>342</v>
      </c>
      <c r="B205" s="25" t="s">
        <v>25</v>
      </c>
      <c r="C205" s="36" t="s">
        <v>152</v>
      </c>
      <c r="D205" s="32" t="s">
        <v>51</v>
      </c>
      <c r="E205" s="31">
        <f>F205+G205+H205+I205+J205</f>
        <v>476.3</v>
      </c>
      <c r="F205" s="32">
        <v>0</v>
      </c>
      <c r="G205" s="31">
        <v>0</v>
      </c>
      <c r="H205" s="32">
        <f>G205</f>
        <v>0</v>
      </c>
      <c r="I205" s="32">
        <f>ROUND(H205*1.043,1)</f>
        <v>0</v>
      </c>
      <c r="J205" s="32">
        <v>476.3</v>
      </c>
      <c r="K205" s="36" t="s">
        <v>343</v>
      </c>
      <c r="L205" s="41" t="s">
        <v>39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</v>
      </c>
    </row>
    <row r="206" spans="1:18" ht="63.75" hidden="1" x14ac:dyDescent="0.25">
      <c r="A206" s="32" t="s">
        <v>344</v>
      </c>
      <c r="B206" s="25" t="s">
        <v>25</v>
      </c>
      <c r="C206" s="36" t="s">
        <v>152</v>
      </c>
      <c r="D206" s="32" t="s">
        <v>51</v>
      </c>
      <c r="E206" s="31">
        <f t="shared" ref="E206:E208" si="97">F206+G206+H206+I206+J206</f>
        <v>0</v>
      </c>
      <c r="F206" s="32">
        <v>0</v>
      </c>
      <c r="G206" s="31">
        <f t="shared" ref="G206" si="98">ROUND(F206*1.063,1)</f>
        <v>0</v>
      </c>
      <c r="H206" s="31">
        <f>ROUND(G206*1.048,1)</f>
        <v>0</v>
      </c>
      <c r="I206" s="31">
        <f t="shared" ref="I206:J206" si="99">ROUND(H206*1.043,1)</f>
        <v>0</v>
      </c>
      <c r="J206" s="31">
        <f t="shared" si="99"/>
        <v>0</v>
      </c>
      <c r="K206" s="36" t="s">
        <v>345</v>
      </c>
      <c r="L206" s="17" t="s">
        <v>39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</row>
    <row r="207" spans="1:18" ht="63.75" x14ac:dyDescent="0.25">
      <c r="A207" s="32" t="s">
        <v>346</v>
      </c>
      <c r="B207" s="25" t="s">
        <v>25</v>
      </c>
      <c r="C207" s="36" t="s">
        <v>152</v>
      </c>
      <c r="D207" s="32" t="s">
        <v>51</v>
      </c>
      <c r="E207" s="31">
        <f t="shared" si="97"/>
        <v>114.7</v>
      </c>
      <c r="F207" s="32">
        <v>0</v>
      </c>
      <c r="G207" s="31">
        <v>0</v>
      </c>
      <c r="H207" s="32">
        <f>G207</f>
        <v>0</v>
      </c>
      <c r="I207" s="32">
        <f>ROUND(H207*1.043,1)</f>
        <v>0</v>
      </c>
      <c r="J207" s="32">
        <v>114.7</v>
      </c>
      <c r="K207" s="36" t="s">
        <v>347</v>
      </c>
      <c r="L207" s="17" t="s">
        <v>39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1</v>
      </c>
    </row>
    <row r="208" spans="1:18" ht="63.75" hidden="1" x14ac:dyDescent="0.25">
      <c r="A208" s="32" t="s">
        <v>348</v>
      </c>
      <c r="B208" s="25" t="s">
        <v>25</v>
      </c>
      <c r="C208" s="36" t="s">
        <v>152</v>
      </c>
      <c r="D208" s="32" t="s">
        <v>51</v>
      </c>
      <c r="E208" s="31">
        <f t="shared" si="97"/>
        <v>0</v>
      </c>
      <c r="F208" s="32">
        <v>0</v>
      </c>
      <c r="G208" s="31">
        <v>0</v>
      </c>
      <c r="H208" s="32">
        <f>G208</f>
        <v>0</v>
      </c>
      <c r="I208" s="32">
        <f>ROUND(H208*1.043,1)</f>
        <v>0</v>
      </c>
      <c r="J208" s="32">
        <v>0</v>
      </c>
      <c r="K208" s="36" t="s">
        <v>349</v>
      </c>
      <c r="L208" s="17" t="s">
        <v>39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1</v>
      </c>
    </row>
    <row r="209" spans="1:18" ht="76.5" x14ac:dyDescent="0.25">
      <c r="A209" s="32" t="s">
        <v>350</v>
      </c>
      <c r="B209" s="25" t="s">
        <v>25</v>
      </c>
      <c r="C209" s="36" t="s">
        <v>152</v>
      </c>
      <c r="D209" s="32" t="s">
        <v>51</v>
      </c>
      <c r="E209" s="32">
        <f>E210</f>
        <v>71.400000000000006</v>
      </c>
      <c r="F209" s="32">
        <f t="shared" ref="F209:J209" si="100">F210</f>
        <v>0</v>
      </c>
      <c r="G209" s="32">
        <f t="shared" si="100"/>
        <v>0</v>
      </c>
      <c r="H209" s="32">
        <f t="shared" si="100"/>
        <v>0</v>
      </c>
      <c r="I209" s="32">
        <f t="shared" si="100"/>
        <v>0</v>
      </c>
      <c r="J209" s="32">
        <f t="shared" si="100"/>
        <v>71.400000000000006</v>
      </c>
      <c r="K209" s="36" t="s">
        <v>351</v>
      </c>
      <c r="L209" s="17" t="s">
        <v>33</v>
      </c>
      <c r="M209" s="17">
        <v>0</v>
      </c>
      <c r="N209" s="17">
        <v>0</v>
      </c>
      <c r="O209" s="17">
        <v>100</v>
      </c>
      <c r="P209" s="17">
        <v>100</v>
      </c>
      <c r="Q209" s="17">
        <v>100</v>
      </c>
      <c r="R209" s="17">
        <v>100</v>
      </c>
    </row>
    <row r="210" spans="1:18" ht="63.75" x14ac:dyDescent="0.25">
      <c r="A210" s="32" t="s">
        <v>352</v>
      </c>
      <c r="B210" s="25" t="s">
        <v>25</v>
      </c>
      <c r="C210" s="36" t="s">
        <v>152</v>
      </c>
      <c r="D210" s="32" t="s">
        <v>51</v>
      </c>
      <c r="E210" s="31">
        <f>F210+G210+H210+I210+J210</f>
        <v>71.400000000000006</v>
      </c>
      <c r="F210" s="32">
        <v>0</v>
      </c>
      <c r="G210" s="31">
        <v>0</v>
      </c>
      <c r="H210" s="31">
        <f>G210</f>
        <v>0</v>
      </c>
      <c r="I210" s="31">
        <f>ROUND(H210*1.043,1)</f>
        <v>0</v>
      </c>
      <c r="J210" s="31">
        <v>71.400000000000006</v>
      </c>
      <c r="K210" s="36" t="s">
        <v>353</v>
      </c>
      <c r="L210" s="39" t="s">
        <v>39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1</v>
      </c>
    </row>
    <row r="211" spans="1:18" ht="75" x14ac:dyDescent="0.25">
      <c r="A211" s="32" t="s">
        <v>354</v>
      </c>
      <c r="B211" s="25" t="s">
        <v>25</v>
      </c>
      <c r="C211" s="36" t="s">
        <v>152</v>
      </c>
      <c r="D211" s="32" t="s">
        <v>51</v>
      </c>
      <c r="E211" s="32">
        <f>E212+E213+E214+E215</f>
        <v>1137.1000000000001</v>
      </c>
      <c r="F211" s="32">
        <f t="shared" ref="F211:J211" si="101">F212+F213+F214+F215</f>
        <v>234.5</v>
      </c>
      <c r="G211" s="32">
        <f t="shared" si="101"/>
        <v>92</v>
      </c>
      <c r="H211" s="32">
        <f t="shared" si="101"/>
        <v>92</v>
      </c>
      <c r="I211" s="32">
        <f t="shared" si="101"/>
        <v>84.6</v>
      </c>
      <c r="J211" s="32">
        <f t="shared" si="101"/>
        <v>634</v>
      </c>
      <c r="K211" s="48" t="s">
        <v>355</v>
      </c>
      <c r="L211" s="56" t="s">
        <v>90</v>
      </c>
      <c r="M211" s="40">
        <v>7</v>
      </c>
      <c r="N211" s="40">
        <v>7</v>
      </c>
      <c r="O211" s="40">
        <v>2</v>
      </c>
      <c r="P211" s="40">
        <v>2</v>
      </c>
      <c r="Q211" s="40">
        <v>2</v>
      </c>
      <c r="R211" s="40">
        <v>2</v>
      </c>
    </row>
    <row r="212" spans="1:18" ht="76.5" x14ac:dyDescent="0.25">
      <c r="A212" s="32" t="s">
        <v>356</v>
      </c>
      <c r="B212" s="25" t="s">
        <v>25</v>
      </c>
      <c r="C212" s="36" t="s">
        <v>152</v>
      </c>
      <c r="D212" s="32" t="s">
        <v>51</v>
      </c>
      <c r="E212" s="31">
        <f>F212+G212+H212+I212+J212</f>
        <v>579.1</v>
      </c>
      <c r="F212" s="32">
        <f>234.5-20</f>
        <v>214.5</v>
      </c>
      <c r="G212" s="31">
        <v>92</v>
      </c>
      <c r="H212" s="31">
        <f>G212</f>
        <v>92</v>
      </c>
      <c r="I212" s="31">
        <f>92-7.4</f>
        <v>84.6</v>
      </c>
      <c r="J212" s="31">
        <f>ROUND(H212*1.043,1)</f>
        <v>96</v>
      </c>
      <c r="K212" s="36" t="s">
        <v>357</v>
      </c>
      <c r="L212" s="41" t="s">
        <v>39</v>
      </c>
      <c r="M212" s="41">
        <v>7</v>
      </c>
      <c r="N212" s="41">
        <v>7</v>
      </c>
      <c r="O212" s="41">
        <v>2</v>
      </c>
      <c r="P212" s="41">
        <v>2</v>
      </c>
      <c r="Q212" s="41">
        <v>2</v>
      </c>
      <c r="R212" s="41">
        <v>2</v>
      </c>
    </row>
    <row r="213" spans="1:18" ht="76.5" x14ac:dyDescent="0.25">
      <c r="A213" s="32" t="s">
        <v>358</v>
      </c>
      <c r="B213" s="25" t="s">
        <v>25</v>
      </c>
      <c r="C213" s="36" t="s">
        <v>152</v>
      </c>
      <c r="D213" s="32" t="s">
        <v>51</v>
      </c>
      <c r="E213" s="31">
        <f>F213+G213+H213+I213+J213</f>
        <v>126</v>
      </c>
      <c r="F213" s="32">
        <v>0</v>
      </c>
      <c r="G213" s="31">
        <v>0</v>
      </c>
      <c r="H213" s="31">
        <f>G213</f>
        <v>0</v>
      </c>
      <c r="I213" s="31">
        <f t="shared" ref="I213:I215" si="102">ROUND(H213*1.043,1)</f>
        <v>0</v>
      </c>
      <c r="J213" s="31">
        <v>126</v>
      </c>
      <c r="K213" s="36" t="s">
        <v>359</v>
      </c>
      <c r="L213" s="17" t="s">
        <v>39</v>
      </c>
      <c r="M213" s="17">
        <v>7</v>
      </c>
      <c r="N213" s="17">
        <v>7</v>
      </c>
      <c r="O213" s="17">
        <v>0</v>
      </c>
      <c r="P213" s="17">
        <v>0</v>
      </c>
      <c r="Q213" s="17">
        <v>0</v>
      </c>
      <c r="R213" s="17">
        <v>2</v>
      </c>
    </row>
    <row r="214" spans="1:18" ht="76.5" x14ac:dyDescent="0.25">
      <c r="A214" s="32" t="s">
        <v>360</v>
      </c>
      <c r="B214" s="25" t="s">
        <v>25</v>
      </c>
      <c r="C214" s="36" t="s">
        <v>152</v>
      </c>
      <c r="D214" s="32" t="s">
        <v>51</v>
      </c>
      <c r="E214" s="31">
        <f>F214+G214+H214+I214+J214</f>
        <v>366.3</v>
      </c>
      <c r="F214" s="32">
        <v>0</v>
      </c>
      <c r="G214" s="31">
        <v>0</v>
      </c>
      <c r="H214" s="31">
        <f>G214</f>
        <v>0</v>
      </c>
      <c r="I214" s="31">
        <f t="shared" si="102"/>
        <v>0</v>
      </c>
      <c r="J214" s="31">
        <v>366.3</v>
      </c>
      <c r="K214" s="36" t="s">
        <v>361</v>
      </c>
      <c r="L214" s="17" t="s">
        <v>39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2</v>
      </c>
    </row>
    <row r="215" spans="1:18" ht="63.75" x14ac:dyDescent="0.25">
      <c r="A215" s="32" t="s">
        <v>362</v>
      </c>
      <c r="B215" s="25" t="s">
        <v>25</v>
      </c>
      <c r="C215" s="36" t="s">
        <v>152</v>
      </c>
      <c r="D215" s="32" t="s">
        <v>51</v>
      </c>
      <c r="E215" s="31">
        <f>F215+G215+H215+I215+J215</f>
        <v>65.7</v>
      </c>
      <c r="F215" s="32">
        <v>20</v>
      </c>
      <c r="G215" s="31">
        <v>0</v>
      </c>
      <c r="H215" s="31">
        <f>G215</f>
        <v>0</v>
      </c>
      <c r="I215" s="31">
        <f t="shared" si="102"/>
        <v>0</v>
      </c>
      <c r="J215" s="31">
        <v>45.7</v>
      </c>
      <c r="K215" s="36" t="s">
        <v>363</v>
      </c>
      <c r="L215" s="17" t="s">
        <v>39</v>
      </c>
      <c r="M215" s="17">
        <v>7</v>
      </c>
      <c r="N215" s="17">
        <v>2</v>
      </c>
      <c r="O215" s="17">
        <v>0</v>
      </c>
      <c r="P215" s="17">
        <v>0</v>
      </c>
      <c r="Q215" s="17">
        <v>0</v>
      </c>
      <c r="R215" s="17">
        <v>2</v>
      </c>
    </row>
    <row r="216" spans="1:18" x14ac:dyDescent="0.25">
      <c r="A216" s="109" t="s">
        <v>364</v>
      </c>
      <c r="B216" s="57"/>
      <c r="C216" s="99" t="s">
        <v>365</v>
      </c>
      <c r="D216" s="32" t="s">
        <v>31</v>
      </c>
      <c r="E216" s="74">
        <f>E217+E218</f>
        <v>113138.50000000001</v>
      </c>
      <c r="F216" s="74">
        <f t="shared" ref="F216:J216" si="103">F217+F218</f>
        <v>15350.099999999999</v>
      </c>
      <c r="G216" s="74">
        <f t="shared" si="103"/>
        <v>24756.300000000003</v>
      </c>
      <c r="H216" s="74">
        <f t="shared" si="103"/>
        <v>22704.200000000004</v>
      </c>
      <c r="I216" s="74">
        <f t="shared" si="103"/>
        <v>21033</v>
      </c>
      <c r="J216" s="74">
        <f t="shared" si="103"/>
        <v>29294.9</v>
      </c>
      <c r="K216" s="123"/>
      <c r="L216" s="17"/>
      <c r="M216" s="17"/>
      <c r="N216" s="17"/>
      <c r="O216" s="17"/>
      <c r="P216" s="17"/>
      <c r="Q216" s="17"/>
      <c r="R216" s="17"/>
    </row>
    <row r="217" spans="1:18" ht="60" x14ac:dyDescent="0.25">
      <c r="A217" s="114"/>
      <c r="B217" s="25" t="s">
        <v>25</v>
      </c>
      <c r="C217" s="100"/>
      <c r="D217" s="32" t="s">
        <v>51</v>
      </c>
      <c r="E217" s="75">
        <f>E220+E234</f>
        <v>101477.30000000002</v>
      </c>
      <c r="F217" s="75">
        <f t="shared" ref="F217:J217" si="104">F220+F234</f>
        <v>12240.499999999998</v>
      </c>
      <c r="G217" s="75">
        <f t="shared" si="104"/>
        <v>21646.700000000004</v>
      </c>
      <c r="H217" s="75">
        <f>H220+H234</f>
        <v>20890.200000000004</v>
      </c>
      <c r="I217" s="75">
        <f t="shared" si="104"/>
        <v>19219</v>
      </c>
      <c r="J217" s="75">
        <f t="shared" si="104"/>
        <v>27480.9</v>
      </c>
      <c r="K217" s="100"/>
      <c r="L217" s="17"/>
      <c r="M217" s="17"/>
      <c r="N217" s="17"/>
      <c r="O217" s="17"/>
      <c r="P217" s="17"/>
      <c r="Q217" s="17"/>
      <c r="R217" s="17"/>
    </row>
    <row r="218" spans="1:18" ht="45" x14ac:dyDescent="0.25">
      <c r="A218" s="115"/>
      <c r="B218" s="58"/>
      <c r="C218" s="101"/>
      <c r="D218" s="32" t="s">
        <v>29</v>
      </c>
      <c r="E218" s="75">
        <f>E221</f>
        <v>11661.2</v>
      </c>
      <c r="F218" s="75">
        <f t="shared" ref="F218:J218" si="105">F221</f>
        <v>3109.6</v>
      </c>
      <c r="G218" s="75">
        <f t="shared" si="105"/>
        <v>3109.6</v>
      </c>
      <c r="H218" s="75">
        <f t="shared" si="105"/>
        <v>1814</v>
      </c>
      <c r="I218" s="75">
        <f t="shared" si="105"/>
        <v>1814</v>
      </c>
      <c r="J218" s="75">
        <f t="shared" si="105"/>
        <v>1814</v>
      </c>
      <c r="K218" s="101"/>
      <c r="L218" s="17"/>
      <c r="M218" s="17"/>
      <c r="N218" s="17"/>
      <c r="O218" s="17"/>
      <c r="P218" s="17"/>
      <c r="Q218" s="17"/>
      <c r="R218" s="17"/>
    </row>
    <row r="219" spans="1:18" x14ac:dyDescent="0.25">
      <c r="A219" s="96" t="s">
        <v>366</v>
      </c>
      <c r="B219" s="58"/>
      <c r="C219" s="99" t="s">
        <v>365</v>
      </c>
      <c r="D219" s="32" t="s">
        <v>31</v>
      </c>
      <c r="E219" s="54">
        <f>E220+E221</f>
        <v>105549.80000000002</v>
      </c>
      <c r="F219" s="54">
        <f t="shared" ref="F219:J219" si="106">F220+F221</f>
        <v>14836.699999999999</v>
      </c>
      <c r="G219" s="54">
        <f t="shared" si="106"/>
        <v>24363.4</v>
      </c>
      <c r="H219" s="54">
        <f t="shared" si="106"/>
        <v>22311.300000000003</v>
      </c>
      <c r="I219" s="54">
        <f t="shared" si="106"/>
        <v>20671.5</v>
      </c>
      <c r="J219" s="54">
        <f t="shared" si="106"/>
        <v>23366.9</v>
      </c>
      <c r="K219" s="99" t="s">
        <v>367</v>
      </c>
      <c r="L219" s="17" t="s">
        <v>33</v>
      </c>
      <c r="M219" s="17">
        <v>100</v>
      </c>
      <c r="N219" s="17">
        <v>100</v>
      </c>
      <c r="O219" s="17">
        <v>100</v>
      </c>
      <c r="P219" s="17">
        <v>100</v>
      </c>
      <c r="Q219" s="17">
        <v>100</v>
      </c>
      <c r="R219" s="17">
        <v>100</v>
      </c>
    </row>
    <row r="220" spans="1:18" ht="60" x14ac:dyDescent="0.25">
      <c r="A220" s="117"/>
      <c r="B220" s="25" t="s">
        <v>25</v>
      </c>
      <c r="C220" s="100"/>
      <c r="D220" s="32" t="s">
        <v>51</v>
      </c>
      <c r="E220" s="32">
        <f>E222+E226+E229</f>
        <v>93888.60000000002</v>
      </c>
      <c r="F220" s="32">
        <f>F222+F226+F229</f>
        <v>11727.099999999999</v>
      </c>
      <c r="G220" s="32">
        <f>G222+G226+G229</f>
        <v>21253.800000000003</v>
      </c>
      <c r="H220" s="32">
        <f t="shared" ref="H220:J220" si="107">H222+H226+H229</f>
        <v>20497.300000000003</v>
      </c>
      <c r="I220" s="32">
        <f t="shared" si="107"/>
        <v>18857.5</v>
      </c>
      <c r="J220" s="32">
        <f t="shared" si="107"/>
        <v>21552.9</v>
      </c>
      <c r="K220" s="100"/>
      <c r="L220" s="17"/>
      <c r="M220" s="17"/>
      <c r="N220" s="17"/>
      <c r="O220" s="17"/>
      <c r="P220" s="17"/>
      <c r="Q220" s="17"/>
      <c r="R220" s="17"/>
    </row>
    <row r="221" spans="1:18" ht="45" x14ac:dyDescent="0.25">
      <c r="A221" s="118"/>
      <c r="B221" s="58"/>
      <c r="C221" s="101"/>
      <c r="D221" s="32" t="s">
        <v>29</v>
      </c>
      <c r="E221" s="32">
        <f>E230</f>
        <v>11661.2</v>
      </c>
      <c r="F221" s="32">
        <f t="shared" ref="F221:J221" si="108">F230</f>
        <v>3109.6</v>
      </c>
      <c r="G221" s="32">
        <f t="shared" si="108"/>
        <v>3109.6</v>
      </c>
      <c r="H221" s="32">
        <f t="shared" si="108"/>
        <v>1814</v>
      </c>
      <c r="I221" s="32">
        <f t="shared" si="108"/>
        <v>1814</v>
      </c>
      <c r="J221" s="32">
        <f t="shared" si="108"/>
        <v>1814</v>
      </c>
      <c r="K221" s="101"/>
      <c r="L221" s="17"/>
      <c r="M221" s="17"/>
      <c r="N221" s="17"/>
      <c r="O221" s="17"/>
      <c r="P221" s="17"/>
      <c r="Q221" s="17"/>
      <c r="R221" s="17"/>
    </row>
    <row r="222" spans="1:18" ht="165" x14ac:dyDescent="0.25">
      <c r="A222" s="32" t="s">
        <v>368</v>
      </c>
      <c r="B222" s="25" t="s">
        <v>25</v>
      </c>
      <c r="C222" s="36" t="s">
        <v>369</v>
      </c>
      <c r="D222" s="32" t="s">
        <v>51</v>
      </c>
      <c r="E222" s="32">
        <f>E223+E224+E225</f>
        <v>59773.500000000015</v>
      </c>
      <c r="F222" s="32">
        <f>F223+F224+F225</f>
        <v>4799.7</v>
      </c>
      <c r="G222" s="32">
        <f>G223+G224+G225</f>
        <v>14614.500000000002</v>
      </c>
      <c r="H222" s="32">
        <f t="shared" ref="H222:J222" si="109">H223+H224+H225</f>
        <v>13644.2</v>
      </c>
      <c r="I222" s="32">
        <f t="shared" si="109"/>
        <v>12483.4</v>
      </c>
      <c r="J222" s="32">
        <f t="shared" si="109"/>
        <v>14231.7</v>
      </c>
      <c r="K222" s="36" t="s">
        <v>370</v>
      </c>
      <c r="L222" s="17" t="s">
        <v>33</v>
      </c>
      <c r="M222" s="17">
        <v>100</v>
      </c>
      <c r="N222" s="17">
        <v>100</v>
      </c>
      <c r="O222" s="17">
        <v>100</v>
      </c>
      <c r="P222" s="17">
        <v>100</v>
      </c>
      <c r="Q222" s="17">
        <v>100</v>
      </c>
      <c r="R222" s="17">
        <v>100</v>
      </c>
    </row>
    <row r="223" spans="1:18" ht="75" x14ac:dyDescent="0.25">
      <c r="A223" s="32" t="s">
        <v>371</v>
      </c>
      <c r="B223" s="25" t="s">
        <v>25</v>
      </c>
      <c r="C223" s="36" t="s">
        <v>369</v>
      </c>
      <c r="D223" s="32" t="s">
        <v>51</v>
      </c>
      <c r="E223" s="31">
        <f>F223+G223+H223+I223+J223</f>
        <v>4534.3</v>
      </c>
      <c r="F223" s="32">
        <v>794.3</v>
      </c>
      <c r="G223" s="31">
        <f>656.1+14.5+3.6+2.1+117+28.5-5.9</f>
        <v>815.90000000000009</v>
      </c>
      <c r="H223" s="31">
        <f>G223+5.9</f>
        <v>821.80000000000007</v>
      </c>
      <c r="I223" s="31">
        <v>821.8</v>
      </c>
      <c r="J223" s="31">
        <v>1280.5</v>
      </c>
      <c r="K223" s="59" t="s">
        <v>372</v>
      </c>
      <c r="L223" s="17" t="s">
        <v>39</v>
      </c>
      <c r="M223" s="17">
        <v>3</v>
      </c>
      <c r="N223" s="17">
        <v>3</v>
      </c>
      <c r="O223" s="17">
        <v>3</v>
      </c>
      <c r="P223" s="17">
        <v>3</v>
      </c>
      <c r="Q223" s="17">
        <v>3</v>
      </c>
      <c r="R223" s="17">
        <v>3</v>
      </c>
    </row>
    <row r="224" spans="1:18" ht="60" hidden="1" x14ac:dyDescent="0.25">
      <c r="A224" s="32" t="s">
        <v>373</v>
      </c>
      <c r="B224" s="25" t="s">
        <v>25</v>
      </c>
      <c r="C224" s="36" t="s">
        <v>369</v>
      </c>
      <c r="D224" s="32" t="s">
        <v>51</v>
      </c>
      <c r="E224" s="31">
        <f>F224+G224+H224+I224+J224</f>
        <v>0</v>
      </c>
      <c r="F224" s="32">
        <v>0</v>
      </c>
      <c r="G224" s="31">
        <v>0</v>
      </c>
      <c r="H224" s="31">
        <v>0</v>
      </c>
      <c r="I224" s="31">
        <f>ROUND(H224*1.043,1)</f>
        <v>0</v>
      </c>
      <c r="J224" s="31">
        <f>ROUND(I224*1.043,1)</f>
        <v>0</v>
      </c>
      <c r="K224" s="60" t="s">
        <v>374</v>
      </c>
      <c r="L224" s="17" t="s">
        <v>39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</row>
    <row r="225" spans="1:18" ht="75" x14ac:dyDescent="0.25">
      <c r="A225" s="32" t="s">
        <v>375</v>
      </c>
      <c r="B225" s="25" t="s">
        <v>25</v>
      </c>
      <c r="C225" s="36" t="s">
        <v>369</v>
      </c>
      <c r="D225" s="32" t="s">
        <v>51</v>
      </c>
      <c r="E225" s="31">
        <f>F225+G225+H225+I225+J225</f>
        <v>55239.200000000012</v>
      </c>
      <c r="F225" s="32">
        <f>2061.4+1944</f>
        <v>4005.4</v>
      </c>
      <c r="G225" s="31">
        <f>5055.5+7754+5+1.5+1.6+1.5+3.3-404.3-2000+234.7+3145.8</f>
        <v>13798.600000000002</v>
      </c>
      <c r="H225" s="31">
        <f>G225+404.3+2000-234.7-3145.8</f>
        <v>12822.400000000001</v>
      </c>
      <c r="I225" s="31">
        <f>12822.4-1160.8</f>
        <v>11661.6</v>
      </c>
      <c r="J225" s="31">
        <f>2270.3+10680.9</f>
        <v>12951.2</v>
      </c>
      <c r="K225" s="60" t="s">
        <v>374</v>
      </c>
      <c r="L225" s="17" t="s">
        <v>39</v>
      </c>
      <c r="M225" s="17">
        <v>5</v>
      </c>
      <c r="N225" s="17">
        <v>5</v>
      </c>
      <c r="O225" s="17">
        <v>5</v>
      </c>
      <c r="P225" s="17">
        <v>5</v>
      </c>
      <c r="Q225" s="17">
        <v>5</v>
      </c>
      <c r="R225" s="17">
        <v>5</v>
      </c>
    </row>
    <row r="226" spans="1:18" ht="150" x14ac:dyDescent="0.25">
      <c r="A226" s="32" t="s">
        <v>376</v>
      </c>
      <c r="B226" s="25" t="s">
        <v>25</v>
      </c>
      <c r="C226" s="36" t="s">
        <v>369</v>
      </c>
      <c r="D226" s="32" t="s">
        <v>51</v>
      </c>
      <c r="E226" s="32">
        <f>E227</f>
        <v>4092.4999999999995</v>
      </c>
      <c r="F226" s="32">
        <f t="shared" ref="F226:J226" si="110">F227</f>
        <v>819</v>
      </c>
      <c r="G226" s="32">
        <f t="shared" si="110"/>
        <v>636.79999999999995</v>
      </c>
      <c r="H226" s="32">
        <f t="shared" si="110"/>
        <v>865.59999999999991</v>
      </c>
      <c r="I226" s="32">
        <f t="shared" si="110"/>
        <v>865.6</v>
      </c>
      <c r="J226" s="32">
        <f t="shared" si="110"/>
        <v>905.5</v>
      </c>
      <c r="K226" s="59" t="s">
        <v>377</v>
      </c>
      <c r="L226" s="17" t="s">
        <v>33</v>
      </c>
      <c r="M226" s="17">
        <v>100</v>
      </c>
      <c r="N226" s="17">
        <v>100</v>
      </c>
      <c r="O226" s="17">
        <v>100</v>
      </c>
      <c r="P226" s="17">
        <v>100</v>
      </c>
      <c r="Q226" s="17">
        <v>100</v>
      </c>
      <c r="R226" s="17">
        <v>100</v>
      </c>
    </row>
    <row r="227" spans="1:18" ht="60" x14ac:dyDescent="0.25">
      <c r="A227" s="32" t="s">
        <v>378</v>
      </c>
      <c r="B227" s="25" t="s">
        <v>25</v>
      </c>
      <c r="C227" s="36" t="s">
        <v>365</v>
      </c>
      <c r="D227" s="32" t="s">
        <v>51</v>
      </c>
      <c r="E227" s="31">
        <f>F227+G227+H227+I227+J227</f>
        <v>4092.4999999999995</v>
      </c>
      <c r="F227" s="32">
        <v>819</v>
      </c>
      <c r="G227" s="31">
        <f>851.1+5.7+5+0.9+2.9-228.8</f>
        <v>636.79999999999995</v>
      </c>
      <c r="H227" s="31">
        <f>G227+228.8</f>
        <v>865.59999999999991</v>
      </c>
      <c r="I227" s="31">
        <v>865.6</v>
      </c>
      <c r="J227" s="31">
        <v>905.5</v>
      </c>
      <c r="K227" s="60" t="s">
        <v>379</v>
      </c>
      <c r="L227" s="17" t="s">
        <v>63</v>
      </c>
      <c r="M227" s="17">
        <v>1</v>
      </c>
      <c r="N227" s="17">
        <v>1</v>
      </c>
      <c r="O227" s="17">
        <v>1</v>
      </c>
      <c r="P227" s="17">
        <v>1</v>
      </c>
      <c r="Q227" s="17">
        <v>1</v>
      </c>
      <c r="R227" s="17">
        <v>1</v>
      </c>
    </row>
    <row r="228" spans="1:18" ht="15.75" customHeight="1" x14ac:dyDescent="0.25">
      <c r="A228" s="96" t="s">
        <v>380</v>
      </c>
      <c r="B228" s="58"/>
      <c r="C228" s="99" t="s">
        <v>381</v>
      </c>
      <c r="D228" s="32" t="s">
        <v>31</v>
      </c>
      <c r="E228" s="31">
        <f>E229+E230</f>
        <v>41683.800000000003</v>
      </c>
      <c r="F228" s="31">
        <f t="shared" ref="F228:J228" si="111">F229+F230</f>
        <v>9218</v>
      </c>
      <c r="G228" s="31">
        <f t="shared" si="111"/>
        <v>9112.1</v>
      </c>
      <c r="H228" s="31">
        <f t="shared" si="111"/>
        <v>7801.5</v>
      </c>
      <c r="I228" s="31">
        <f t="shared" si="111"/>
        <v>7322.5</v>
      </c>
      <c r="J228" s="31">
        <f t="shared" si="111"/>
        <v>8229.7000000000007</v>
      </c>
      <c r="K228" s="124" t="s">
        <v>382</v>
      </c>
      <c r="L228" s="17"/>
      <c r="M228" s="17"/>
      <c r="N228" s="17"/>
      <c r="O228" s="17"/>
      <c r="P228" s="17"/>
      <c r="Q228" s="17"/>
      <c r="R228" s="17"/>
    </row>
    <row r="229" spans="1:18" ht="60" x14ac:dyDescent="0.25">
      <c r="A229" s="117"/>
      <c r="B229" s="25" t="s">
        <v>25</v>
      </c>
      <c r="C229" s="100"/>
      <c r="D229" s="32" t="s">
        <v>51</v>
      </c>
      <c r="E229" s="32">
        <f>E232</f>
        <v>30022.600000000002</v>
      </c>
      <c r="F229" s="32">
        <f t="shared" ref="F229:J230" si="112">F232</f>
        <v>6108.4</v>
      </c>
      <c r="G229" s="32">
        <f t="shared" si="112"/>
        <v>6002.5</v>
      </c>
      <c r="H229" s="32">
        <f t="shared" si="112"/>
        <v>5987.5</v>
      </c>
      <c r="I229" s="32">
        <f t="shared" si="112"/>
        <v>5508.5</v>
      </c>
      <c r="J229" s="32">
        <f t="shared" si="112"/>
        <v>6415.7</v>
      </c>
      <c r="K229" s="125"/>
      <c r="L229" s="17" t="s">
        <v>33</v>
      </c>
      <c r="M229" s="17">
        <v>100</v>
      </c>
      <c r="N229" s="17">
        <v>100</v>
      </c>
      <c r="O229" s="17">
        <v>100</v>
      </c>
      <c r="P229" s="17">
        <v>100</v>
      </c>
      <c r="Q229" s="17">
        <v>100</v>
      </c>
      <c r="R229" s="17">
        <v>100</v>
      </c>
    </row>
    <row r="230" spans="1:18" ht="72.75" customHeight="1" x14ac:dyDescent="0.25">
      <c r="A230" s="118"/>
      <c r="B230" s="58"/>
      <c r="C230" s="101"/>
      <c r="D230" s="32" t="s">
        <v>29</v>
      </c>
      <c r="E230" s="32">
        <f>E233</f>
        <v>11661.2</v>
      </c>
      <c r="F230" s="32">
        <f t="shared" si="112"/>
        <v>3109.6</v>
      </c>
      <c r="G230" s="32">
        <f t="shared" si="112"/>
        <v>3109.6</v>
      </c>
      <c r="H230" s="32">
        <f t="shared" si="112"/>
        <v>1814</v>
      </c>
      <c r="I230" s="32">
        <f t="shared" si="112"/>
        <v>1814</v>
      </c>
      <c r="J230" s="32">
        <f t="shared" si="112"/>
        <v>1814</v>
      </c>
      <c r="K230" s="126"/>
      <c r="L230" s="17"/>
      <c r="M230" s="17"/>
      <c r="N230" s="17"/>
      <c r="O230" s="17"/>
      <c r="P230" s="17"/>
      <c r="Q230" s="17"/>
      <c r="R230" s="17"/>
    </row>
    <row r="231" spans="1:18" x14ac:dyDescent="0.25">
      <c r="A231" s="96" t="s">
        <v>383</v>
      </c>
      <c r="B231" s="58"/>
      <c r="C231" s="99" t="s">
        <v>381</v>
      </c>
      <c r="D231" s="32" t="s">
        <v>31</v>
      </c>
      <c r="E231" s="32">
        <f>E232+E233</f>
        <v>41683.800000000003</v>
      </c>
      <c r="F231" s="32">
        <f t="shared" ref="F231:J231" si="113">F232+F233</f>
        <v>9218</v>
      </c>
      <c r="G231" s="32">
        <f t="shared" si="113"/>
        <v>9112.1</v>
      </c>
      <c r="H231" s="32">
        <f t="shared" si="113"/>
        <v>7801.5</v>
      </c>
      <c r="I231" s="32">
        <f t="shared" si="113"/>
        <v>7322.5</v>
      </c>
      <c r="J231" s="32">
        <f t="shared" si="113"/>
        <v>8229.7000000000007</v>
      </c>
      <c r="K231" s="61"/>
      <c r="L231" s="17"/>
      <c r="M231" s="17"/>
      <c r="N231" s="17"/>
      <c r="O231" s="17"/>
      <c r="P231" s="17"/>
      <c r="Q231" s="17"/>
      <c r="R231" s="17"/>
    </row>
    <row r="232" spans="1:18" ht="76.5" x14ac:dyDescent="0.25">
      <c r="A232" s="117"/>
      <c r="B232" s="25" t="s">
        <v>25</v>
      </c>
      <c r="C232" s="100"/>
      <c r="D232" s="32" t="s">
        <v>51</v>
      </c>
      <c r="E232" s="32">
        <f>F232+G232+H232+I232+J232</f>
        <v>30022.600000000002</v>
      </c>
      <c r="F232" s="32">
        <v>6108.4</v>
      </c>
      <c r="G232" s="54">
        <f>5987.5+15</f>
        <v>6002.5</v>
      </c>
      <c r="H232" s="54">
        <v>5987.5</v>
      </c>
      <c r="I232" s="54">
        <v>5508.5</v>
      </c>
      <c r="J232" s="54">
        <f>[1]прочие!M181</f>
        <v>6415.7</v>
      </c>
      <c r="K232" s="62" t="s">
        <v>384</v>
      </c>
      <c r="L232" s="17" t="s">
        <v>39</v>
      </c>
      <c r="M232" s="17">
        <v>3</v>
      </c>
      <c r="N232" s="17">
        <v>3</v>
      </c>
      <c r="O232" s="17">
        <v>3</v>
      </c>
      <c r="P232" s="17">
        <v>3</v>
      </c>
      <c r="Q232" s="17">
        <v>3</v>
      </c>
      <c r="R232" s="17">
        <v>3</v>
      </c>
    </row>
    <row r="233" spans="1:18" ht="45" x14ac:dyDescent="0.25">
      <c r="A233" s="118"/>
      <c r="B233" s="58"/>
      <c r="C233" s="101"/>
      <c r="D233" s="32" t="s">
        <v>29</v>
      </c>
      <c r="E233" s="32">
        <f>F233+G233+H233+I233+J233</f>
        <v>11661.2</v>
      </c>
      <c r="F233" s="32">
        <v>3109.6</v>
      </c>
      <c r="G233" s="32">
        <v>3109.6</v>
      </c>
      <c r="H233" s="32">
        <v>1814</v>
      </c>
      <c r="I233" s="32">
        <v>1814</v>
      </c>
      <c r="J233" s="32">
        <v>1814</v>
      </c>
      <c r="K233" s="63"/>
      <c r="L233" s="17"/>
      <c r="M233" s="17"/>
      <c r="N233" s="17"/>
      <c r="O233" s="17"/>
      <c r="P233" s="17"/>
      <c r="Q233" s="17"/>
      <c r="R233" s="17"/>
    </row>
    <row r="234" spans="1:18" ht="75" x14ac:dyDescent="0.25">
      <c r="A234" s="32" t="s">
        <v>385</v>
      </c>
      <c r="B234" s="25" t="s">
        <v>25</v>
      </c>
      <c r="C234" s="36" t="s">
        <v>365</v>
      </c>
      <c r="D234" s="32" t="s">
        <v>51</v>
      </c>
      <c r="E234" s="32">
        <f>E235+E241+E246+E250+E256+E264+E266</f>
        <v>7588.7000000000007</v>
      </c>
      <c r="F234" s="32">
        <f t="shared" ref="F234:J234" si="114">F235+F241+F246+F250+F256+F264+F266</f>
        <v>513.40000000000009</v>
      </c>
      <c r="G234" s="32">
        <f t="shared" si="114"/>
        <v>392.9</v>
      </c>
      <c r="H234" s="32">
        <f t="shared" si="114"/>
        <v>392.9</v>
      </c>
      <c r="I234" s="32">
        <f t="shared" si="114"/>
        <v>361.5</v>
      </c>
      <c r="J234" s="32">
        <f t="shared" si="114"/>
        <v>5928</v>
      </c>
      <c r="K234" s="36" t="s">
        <v>386</v>
      </c>
      <c r="L234" s="17" t="s">
        <v>33</v>
      </c>
      <c r="M234" s="17">
        <v>100</v>
      </c>
      <c r="N234" s="17">
        <v>100</v>
      </c>
      <c r="O234" s="17">
        <v>100</v>
      </c>
      <c r="P234" s="17">
        <v>100</v>
      </c>
      <c r="Q234" s="17">
        <v>100</v>
      </c>
      <c r="R234" s="17">
        <v>100</v>
      </c>
    </row>
    <row r="235" spans="1:18" ht="60" x14ac:dyDescent="0.25">
      <c r="A235" s="32" t="s">
        <v>387</v>
      </c>
      <c r="B235" s="25" t="s">
        <v>25</v>
      </c>
      <c r="C235" s="36" t="s">
        <v>365</v>
      </c>
      <c r="D235" s="32" t="s">
        <v>51</v>
      </c>
      <c r="E235" s="32">
        <f>E236+E237+E238+E239+E240</f>
        <v>83.8</v>
      </c>
      <c r="F235" s="32">
        <f t="shared" ref="F235:G235" si="115">F236+F237+F238+F239+F240</f>
        <v>10</v>
      </c>
      <c r="G235" s="32">
        <f t="shared" si="115"/>
        <v>2.9</v>
      </c>
      <c r="H235" s="32">
        <f>H236+H237+H238+H239+H240</f>
        <v>2.9</v>
      </c>
      <c r="I235" s="32">
        <f t="shared" ref="I235:J235" si="116">I236+I237+I238+I239+I240</f>
        <v>2.7</v>
      </c>
      <c r="J235" s="32">
        <f t="shared" si="116"/>
        <v>65.300000000000011</v>
      </c>
      <c r="K235" s="60" t="s">
        <v>388</v>
      </c>
      <c r="L235" s="17" t="s">
        <v>33</v>
      </c>
      <c r="M235" s="17">
        <v>100</v>
      </c>
      <c r="N235" s="17">
        <v>100</v>
      </c>
      <c r="O235" s="17">
        <v>100</v>
      </c>
      <c r="P235" s="17">
        <v>100</v>
      </c>
      <c r="Q235" s="17">
        <v>100</v>
      </c>
      <c r="R235" s="17">
        <v>100</v>
      </c>
    </row>
    <row r="236" spans="1:18" ht="60" x14ac:dyDescent="0.25">
      <c r="A236" s="32" t="s">
        <v>389</v>
      </c>
      <c r="B236" s="25" t="s">
        <v>25</v>
      </c>
      <c r="C236" s="36" t="s">
        <v>369</v>
      </c>
      <c r="D236" s="32" t="s">
        <v>51</v>
      </c>
      <c r="E236" s="31">
        <f>F236+G236+H236+I236+J236</f>
        <v>51.2</v>
      </c>
      <c r="F236" s="32">
        <v>10</v>
      </c>
      <c r="G236" s="31">
        <v>2.9</v>
      </c>
      <c r="H236" s="31">
        <f>G236</f>
        <v>2.9</v>
      </c>
      <c r="I236" s="31">
        <v>2.7</v>
      </c>
      <c r="J236" s="31">
        <v>32.700000000000003</v>
      </c>
      <c r="K236" s="60" t="s">
        <v>390</v>
      </c>
      <c r="L236" s="17" t="s">
        <v>391</v>
      </c>
      <c r="M236" s="17">
        <v>3</v>
      </c>
      <c r="N236" s="17">
        <v>3</v>
      </c>
      <c r="O236" s="17">
        <v>3</v>
      </c>
      <c r="P236" s="17">
        <v>3</v>
      </c>
      <c r="Q236" s="17">
        <v>3</v>
      </c>
      <c r="R236" s="17">
        <v>3</v>
      </c>
    </row>
    <row r="237" spans="1:18" ht="60" hidden="1" x14ac:dyDescent="0.25">
      <c r="A237" s="32" t="s">
        <v>392</v>
      </c>
      <c r="B237" s="25" t="s">
        <v>25</v>
      </c>
      <c r="C237" s="36" t="s">
        <v>365</v>
      </c>
      <c r="D237" s="32" t="s">
        <v>51</v>
      </c>
      <c r="E237" s="31">
        <f>F237+G237+H237+I237+J237</f>
        <v>0</v>
      </c>
      <c r="F237" s="32">
        <v>0</v>
      </c>
      <c r="G237" s="31">
        <v>0</v>
      </c>
      <c r="H237" s="31">
        <v>0</v>
      </c>
      <c r="I237" s="31">
        <v>0</v>
      </c>
      <c r="J237" s="31">
        <v>0</v>
      </c>
      <c r="K237" s="60" t="s">
        <v>393</v>
      </c>
      <c r="L237" s="17" t="s">
        <v>39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</row>
    <row r="238" spans="1:18" ht="60" x14ac:dyDescent="0.25">
      <c r="A238" s="32" t="s">
        <v>394</v>
      </c>
      <c r="B238" s="25" t="s">
        <v>25</v>
      </c>
      <c r="C238" s="36" t="s">
        <v>369</v>
      </c>
      <c r="D238" s="32" t="s">
        <v>51</v>
      </c>
      <c r="E238" s="31">
        <f>F238+G238+H238+I238+J238</f>
        <v>13.1</v>
      </c>
      <c r="F238" s="32">
        <v>0</v>
      </c>
      <c r="G238" s="31">
        <v>0</v>
      </c>
      <c r="H238" s="31">
        <f>G238</f>
        <v>0</v>
      </c>
      <c r="I238" s="31">
        <f t="shared" ref="I238" si="117">ROUND(H238*1.043,1)</f>
        <v>0</v>
      </c>
      <c r="J238" s="31">
        <v>13.1</v>
      </c>
      <c r="K238" s="60" t="s">
        <v>395</v>
      </c>
      <c r="L238" s="17" t="s">
        <v>39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2</v>
      </c>
    </row>
    <row r="239" spans="1:18" ht="60" x14ac:dyDescent="0.25">
      <c r="A239" s="32" t="s">
        <v>396</v>
      </c>
      <c r="B239" s="25" t="s">
        <v>25</v>
      </c>
      <c r="C239" s="36" t="s">
        <v>369</v>
      </c>
      <c r="D239" s="32" t="s">
        <v>51</v>
      </c>
      <c r="E239" s="31">
        <f>F239+G239+H239+I239+J239</f>
        <v>19.5</v>
      </c>
      <c r="F239" s="32">
        <v>0</v>
      </c>
      <c r="G239" s="31">
        <v>0</v>
      </c>
      <c r="H239" s="31">
        <v>0</v>
      </c>
      <c r="I239" s="31">
        <v>0</v>
      </c>
      <c r="J239" s="31">
        <v>19.5</v>
      </c>
      <c r="K239" s="60" t="s">
        <v>397</v>
      </c>
      <c r="L239" s="17" t="s">
        <v>115</v>
      </c>
      <c r="M239" s="17">
        <v>1</v>
      </c>
      <c r="N239" s="17">
        <v>0</v>
      </c>
      <c r="O239" s="17">
        <v>0</v>
      </c>
      <c r="P239" s="17">
        <v>0</v>
      </c>
      <c r="Q239" s="17">
        <v>0</v>
      </c>
      <c r="R239" s="17">
        <v>1</v>
      </c>
    </row>
    <row r="240" spans="1:18" ht="60" hidden="1" x14ac:dyDescent="0.25">
      <c r="A240" s="32" t="s">
        <v>398</v>
      </c>
      <c r="B240" s="25" t="s">
        <v>25</v>
      </c>
      <c r="C240" s="36" t="s">
        <v>369</v>
      </c>
      <c r="D240" s="32" t="s">
        <v>51</v>
      </c>
      <c r="E240" s="31">
        <f>F240+G240+H240+I240+J240</f>
        <v>0</v>
      </c>
      <c r="F240" s="32">
        <v>0</v>
      </c>
      <c r="G240" s="31">
        <v>0</v>
      </c>
      <c r="H240" s="31">
        <v>0</v>
      </c>
      <c r="I240" s="31">
        <v>0</v>
      </c>
      <c r="J240" s="31">
        <v>0</v>
      </c>
      <c r="K240" s="60" t="s">
        <v>399</v>
      </c>
      <c r="L240" s="17" t="s">
        <v>115</v>
      </c>
      <c r="M240" s="17">
        <v>1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</row>
    <row r="241" spans="1:18" ht="60" x14ac:dyDescent="0.25">
      <c r="A241" s="32" t="s">
        <v>400</v>
      </c>
      <c r="B241" s="25" t="s">
        <v>25</v>
      </c>
      <c r="C241" s="36" t="s">
        <v>369</v>
      </c>
      <c r="D241" s="32" t="s">
        <v>51</v>
      </c>
      <c r="E241" s="32">
        <f>E242+E243+E244+E245</f>
        <v>146.1</v>
      </c>
      <c r="F241" s="32">
        <f t="shared" ref="F241:J241" si="118">F242+F243+F244+F245</f>
        <v>0</v>
      </c>
      <c r="G241" s="32">
        <f t="shared" si="118"/>
        <v>0</v>
      </c>
      <c r="H241" s="32">
        <f t="shared" si="118"/>
        <v>0</v>
      </c>
      <c r="I241" s="32">
        <f t="shared" si="118"/>
        <v>0</v>
      </c>
      <c r="J241" s="32">
        <f t="shared" si="118"/>
        <v>146.1</v>
      </c>
      <c r="K241" s="36" t="s">
        <v>401</v>
      </c>
      <c r="L241" s="17" t="s">
        <v>33</v>
      </c>
      <c r="M241" s="17">
        <v>100</v>
      </c>
      <c r="N241" s="17">
        <v>0</v>
      </c>
      <c r="O241" s="17">
        <v>0</v>
      </c>
      <c r="P241" s="17">
        <v>0</v>
      </c>
      <c r="Q241" s="17">
        <v>0</v>
      </c>
      <c r="R241" s="17">
        <v>100</v>
      </c>
    </row>
    <row r="242" spans="1:18" ht="60" x14ac:dyDescent="0.25">
      <c r="A242" s="32" t="s">
        <v>402</v>
      </c>
      <c r="B242" s="25" t="s">
        <v>25</v>
      </c>
      <c r="C242" s="36" t="s">
        <v>369</v>
      </c>
      <c r="D242" s="32" t="s">
        <v>51</v>
      </c>
      <c r="E242" s="31">
        <f>F242+G242+H242+I242+J242</f>
        <v>10.8</v>
      </c>
      <c r="F242" s="32">
        <v>0</v>
      </c>
      <c r="G242" s="31">
        <v>0</v>
      </c>
      <c r="H242" s="31">
        <f>G242</f>
        <v>0</v>
      </c>
      <c r="I242" s="31">
        <f t="shared" ref="I242:I243" si="119">ROUND(H242*1.043,1)</f>
        <v>0</v>
      </c>
      <c r="J242" s="31">
        <v>10.8</v>
      </c>
      <c r="K242" s="59" t="s">
        <v>403</v>
      </c>
      <c r="L242" s="17" t="s">
        <v>115</v>
      </c>
      <c r="M242" s="17">
        <v>1</v>
      </c>
      <c r="N242" s="17">
        <v>0</v>
      </c>
      <c r="O242" s="17">
        <v>0</v>
      </c>
      <c r="P242" s="17">
        <v>0</v>
      </c>
      <c r="Q242" s="17">
        <v>0</v>
      </c>
      <c r="R242" s="17">
        <v>1</v>
      </c>
    </row>
    <row r="243" spans="1:18" ht="60" x14ac:dyDescent="0.25">
      <c r="A243" s="32" t="s">
        <v>404</v>
      </c>
      <c r="B243" s="25" t="s">
        <v>25</v>
      </c>
      <c r="C243" s="36" t="s">
        <v>369</v>
      </c>
      <c r="D243" s="32" t="s">
        <v>51</v>
      </c>
      <c r="E243" s="31">
        <f>F243+G243+H243+I243+J243</f>
        <v>5.4</v>
      </c>
      <c r="F243" s="32">
        <v>0</v>
      </c>
      <c r="G243" s="31">
        <v>0</v>
      </c>
      <c r="H243" s="31">
        <f>G243</f>
        <v>0</v>
      </c>
      <c r="I243" s="31">
        <f t="shared" si="119"/>
        <v>0</v>
      </c>
      <c r="J243" s="31">
        <v>5.4</v>
      </c>
      <c r="K243" s="59" t="s">
        <v>405</v>
      </c>
      <c r="L243" s="17" t="s">
        <v>115</v>
      </c>
      <c r="M243" s="17">
        <v>1</v>
      </c>
      <c r="N243" s="17">
        <v>0</v>
      </c>
      <c r="O243" s="17">
        <v>0</v>
      </c>
      <c r="P243" s="17">
        <v>0</v>
      </c>
      <c r="Q243" s="17">
        <v>0</v>
      </c>
      <c r="R243" s="17">
        <v>1</v>
      </c>
    </row>
    <row r="244" spans="1:18" ht="60" x14ac:dyDescent="0.25">
      <c r="A244" s="32" t="s">
        <v>406</v>
      </c>
      <c r="B244" s="25" t="s">
        <v>25</v>
      </c>
      <c r="C244" s="36" t="s">
        <v>369</v>
      </c>
      <c r="D244" s="32" t="s">
        <v>51</v>
      </c>
      <c r="E244" s="31">
        <f>F244+G244+H244+I244+J244</f>
        <v>123.3</v>
      </c>
      <c r="F244" s="32">
        <v>0</v>
      </c>
      <c r="G244" s="31">
        <v>0</v>
      </c>
      <c r="H244" s="31">
        <f>ROUND(G244*1.048,1)</f>
        <v>0</v>
      </c>
      <c r="I244" s="31">
        <v>0</v>
      </c>
      <c r="J244" s="31">
        <v>123.3</v>
      </c>
      <c r="K244" s="59" t="s">
        <v>407</v>
      </c>
      <c r="L244" s="17" t="s">
        <v>115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1</v>
      </c>
    </row>
    <row r="245" spans="1:18" ht="60" x14ac:dyDescent="0.25">
      <c r="A245" s="32" t="s">
        <v>408</v>
      </c>
      <c r="B245" s="25" t="s">
        <v>25</v>
      </c>
      <c r="C245" s="36" t="s">
        <v>369</v>
      </c>
      <c r="D245" s="32" t="s">
        <v>51</v>
      </c>
      <c r="E245" s="31">
        <f>F245+G245+H245+I245+J245</f>
        <v>6.6</v>
      </c>
      <c r="F245" s="32">
        <v>0</v>
      </c>
      <c r="G245" s="31">
        <v>0</v>
      </c>
      <c r="H245" s="31">
        <f>G245</f>
        <v>0</v>
      </c>
      <c r="I245" s="31">
        <f t="shared" ref="I245" si="120">ROUND(H245*1.043,1)</f>
        <v>0</v>
      </c>
      <c r="J245" s="31">
        <v>6.6</v>
      </c>
      <c r="K245" s="59" t="s">
        <v>409</v>
      </c>
      <c r="L245" s="17" t="s">
        <v>115</v>
      </c>
      <c r="M245" s="17">
        <v>1</v>
      </c>
      <c r="N245" s="17">
        <v>0</v>
      </c>
      <c r="O245" s="17">
        <v>0</v>
      </c>
      <c r="P245" s="17">
        <v>0</v>
      </c>
      <c r="Q245" s="17">
        <v>0</v>
      </c>
      <c r="R245" s="17">
        <v>1</v>
      </c>
    </row>
    <row r="246" spans="1:18" ht="60" x14ac:dyDescent="0.25">
      <c r="A246" s="32" t="s">
        <v>410</v>
      </c>
      <c r="B246" s="25" t="s">
        <v>25</v>
      </c>
      <c r="C246" s="36" t="s">
        <v>369</v>
      </c>
      <c r="D246" s="32" t="s">
        <v>51</v>
      </c>
      <c r="E246" s="32">
        <f>E247+E248+E249</f>
        <v>80.400000000000006</v>
      </c>
      <c r="F246" s="32">
        <f t="shared" ref="F246:J246" si="121">F247+F248+F249</f>
        <v>0</v>
      </c>
      <c r="G246" s="32">
        <f t="shared" si="121"/>
        <v>0</v>
      </c>
      <c r="H246" s="32">
        <f t="shared" si="121"/>
        <v>0</v>
      </c>
      <c r="I246" s="32">
        <f t="shared" si="121"/>
        <v>0</v>
      </c>
      <c r="J246" s="32">
        <f t="shared" si="121"/>
        <v>80.400000000000006</v>
      </c>
      <c r="K246" s="36" t="s">
        <v>411</v>
      </c>
      <c r="L246" s="17" t="s">
        <v>33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100</v>
      </c>
    </row>
    <row r="247" spans="1:18" ht="60" x14ac:dyDescent="0.25">
      <c r="A247" s="32" t="s">
        <v>412</v>
      </c>
      <c r="B247" s="25" t="s">
        <v>25</v>
      </c>
      <c r="C247" s="36" t="s">
        <v>369</v>
      </c>
      <c r="D247" s="32" t="s">
        <v>51</v>
      </c>
      <c r="E247" s="31">
        <f>F247+G247+H247+I247+J247</f>
        <v>80.400000000000006</v>
      </c>
      <c r="F247" s="32">
        <v>0</v>
      </c>
      <c r="G247" s="31">
        <v>0</v>
      </c>
      <c r="H247" s="32">
        <f>G247</f>
        <v>0</v>
      </c>
      <c r="I247" s="32">
        <f>ROUND(H247*1.043,1)</f>
        <v>0</v>
      </c>
      <c r="J247" s="32">
        <v>80.400000000000006</v>
      </c>
      <c r="K247" s="60" t="s">
        <v>413</v>
      </c>
      <c r="L247" s="17" t="s">
        <v>39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1</v>
      </c>
    </row>
    <row r="248" spans="1:18" ht="60" hidden="1" x14ac:dyDescent="0.25">
      <c r="A248" s="32" t="s">
        <v>414</v>
      </c>
      <c r="B248" s="25" t="s">
        <v>25</v>
      </c>
      <c r="C248" s="36" t="s">
        <v>369</v>
      </c>
      <c r="D248" s="32" t="s">
        <v>51</v>
      </c>
      <c r="E248" s="31">
        <f>F248+G248+H248+I248+J248</f>
        <v>0</v>
      </c>
      <c r="F248" s="32">
        <v>0</v>
      </c>
      <c r="G248" s="31"/>
      <c r="H248" s="31"/>
      <c r="I248" s="31"/>
      <c r="J248" s="31"/>
      <c r="K248" s="60" t="s">
        <v>415</v>
      </c>
      <c r="L248" s="17" t="s">
        <v>39</v>
      </c>
      <c r="M248" s="17">
        <v>0</v>
      </c>
      <c r="N248" s="17">
        <v>0</v>
      </c>
      <c r="O248" s="17">
        <v>1</v>
      </c>
      <c r="P248" s="17">
        <v>1</v>
      </c>
      <c r="Q248" s="17">
        <v>1</v>
      </c>
      <c r="R248" s="17">
        <v>1</v>
      </c>
    </row>
    <row r="249" spans="1:18" ht="60" hidden="1" x14ac:dyDescent="0.25">
      <c r="A249" s="32" t="s">
        <v>416</v>
      </c>
      <c r="B249" s="25" t="s">
        <v>25</v>
      </c>
      <c r="C249" s="36" t="s">
        <v>369</v>
      </c>
      <c r="D249" s="32" t="s">
        <v>51</v>
      </c>
      <c r="E249" s="31">
        <f>F249+G249+H249+I249+J249</f>
        <v>0</v>
      </c>
      <c r="F249" s="32">
        <v>0</v>
      </c>
      <c r="G249" s="31">
        <v>0</v>
      </c>
      <c r="H249" s="31">
        <v>0</v>
      </c>
      <c r="I249" s="31">
        <v>0</v>
      </c>
      <c r="J249" s="31">
        <v>0</v>
      </c>
      <c r="K249" s="60" t="s">
        <v>415</v>
      </c>
      <c r="L249" s="17" t="s">
        <v>39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</row>
    <row r="250" spans="1:18" ht="178.5" x14ac:dyDescent="0.25">
      <c r="A250" s="32" t="s">
        <v>417</v>
      </c>
      <c r="B250" s="25" t="s">
        <v>25</v>
      </c>
      <c r="C250" s="36" t="s">
        <v>365</v>
      </c>
      <c r="D250" s="32" t="s">
        <v>51</v>
      </c>
      <c r="E250" s="32">
        <f t="shared" ref="E250:J250" si="122">E251+E252+E253+E254+E255</f>
        <v>2834.5</v>
      </c>
      <c r="F250" s="32">
        <f t="shared" si="122"/>
        <v>503.40000000000003</v>
      </c>
      <c r="G250" s="32">
        <f t="shared" si="122"/>
        <v>390</v>
      </c>
      <c r="H250" s="32">
        <f t="shared" si="122"/>
        <v>390</v>
      </c>
      <c r="I250" s="32">
        <f t="shared" si="122"/>
        <v>358.8</v>
      </c>
      <c r="J250" s="32">
        <f t="shared" si="122"/>
        <v>1192.3</v>
      </c>
      <c r="K250" s="36" t="s">
        <v>418</v>
      </c>
      <c r="L250" s="17" t="s">
        <v>33</v>
      </c>
      <c r="M250" s="17">
        <v>100</v>
      </c>
      <c r="N250" s="17">
        <v>100</v>
      </c>
      <c r="O250" s="17">
        <v>100</v>
      </c>
      <c r="P250" s="17">
        <v>100</v>
      </c>
      <c r="Q250" s="17">
        <v>100</v>
      </c>
      <c r="R250" s="17">
        <v>100</v>
      </c>
    </row>
    <row r="251" spans="1:18" ht="60" x14ac:dyDescent="0.25">
      <c r="A251" s="32" t="s">
        <v>419</v>
      </c>
      <c r="B251" s="25" t="s">
        <v>25</v>
      </c>
      <c r="C251" s="36" t="s">
        <v>365</v>
      </c>
      <c r="D251" s="32" t="s">
        <v>51</v>
      </c>
      <c r="E251" s="31">
        <f>F251+G251+H251+I251+J251</f>
        <v>787.2</v>
      </c>
      <c r="F251" s="32">
        <v>101.2</v>
      </c>
      <c r="G251" s="31">
        <f>390-G254-G252-G253</f>
        <v>45.999999999999986</v>
      </c>
      <c r="H251" s="31">
        <f>G251</f>
        <v>45.999999999999986</v>
      </c>
      <c r="I251" s="31">
        <f>306-31.2</f>
        <v>274.8</v>
      </c>
      <c r="J251" s="31">
        <v>319.2</v>
      </c>
      <c r="K251" s="59" t="s">
        <v>420</v>
      </c>
      <c r="L251" s="17" t="s">
        <v>115</v>
      </c>
      <c r="M251" s="17">
        <v>2</v>
      </c>
      <c r="N251" s="17">
        <v>2</v>
      </c>
      <c r="O251" s="17">
        <v>2</v>
      </c>
      <c r="P251" s="17">
        <v>2</v>
      </c>
      <c r="Q251" s="17">
        <v>2</v>
      </c>
      <c r="R251" s="17">
        <v>2</v>
      </c>
    </row>
    <row r="252" spans="1:18" ht="60" x14ac:dyDescent="0.25">
      <c r="A252" s="32" t="s">
        <v>421</v>
      </c>
      <c r="B252" s="25" t="s">
        <v>25</v>
      </c>
      <c r="C252" s="36" t="s">
        <v>365</v>
      </c>
      <c r="D252" s="32" t="s">
        <v>51</v>
      </c>
      <c r="E252" s="31">
        <f>F252+G252+H252+I252+J252</f>
        <v>1017.8000000000001</v>
      </c>
      <c r="F252" s="32">
        <v>155.80000000000001</v>
      </c>
      <c r="G252" s="31">
        <v>317.3</v>
      </c>
      <c r="H252" s="31">
        <f>G252</f>
        <v>317.3</v>
      </c>
      <c r="I252" s="31">
        <v>0</v>
      </c>
      <c r="J252" s="31">
        <v>227.4</v>
      </c>
      <c r="K252" s="59" t="s">
        <v>422</v>
      </c>
      <c r="L252" s="17" t="s">
        <v>115</v>
      </c>
      <c r="M252" s="17">
        <v>2</v>
      </c>
      <c r="N252" s="17">
        <v>2</v>
      </c>
      <c r="O252" s="17">
        <v>0</v>
      </c>
      <c r="P252" s="17">
        <v>0</v>
      </c>
      <c r="Q252" s="17">
        <v>0</v>
      </c>
      <c r="R252" s="17">
        <v>2</v>
      </c>
    </row>
    <row r="253" spans="1:18" ht="60" x14ac:dyDescent="0.25">
      <c r="A253" s="32" t="s">
        <v>423</v>
      </c>
      <c r="B253" s="25" t="s">
        <v>25</v>
      </c>
      <c r="C253" s="36" t="s">
        <v>365</v>
      </c>
      <c r="D253" s="32" t="s">
        <v>51</v>
      </c>
      <c r="E253" s="31">
        <f>F253+G253+H253+I253+J253</f>
        <v>539</v>
      </c>
      <c r="F253" s="32">
        <v>89.1</v>
      </c>
      <c r="G253" s="31">
        <v>2.2000000000000002</v>
      </c>
      <c r="H253" s="31">
        <f>G253</f>
        <v>2.2000000000000002</v>
      </c>
      <c r="I253" s="31">
        <v>0</v>
      </c>
      <c r="J253" s="31">
        <v>445.5</v>
      </c>
      <c r="K253" s="59" t="s">
        <v>424</v>
      </c>
      <c r="L253" s="17" t="s">
        <v>115</v>
      </c>
      <c r="M253" s="17">
        <v>2</v>
      </c>
      <c r="N253" s="17">
        <v>2</v>
      </c>
      <c r="O253" s="17">
        <v>2</v>
      </c>
      <c r="P253" s="17">
        <v>2</v>
      </c>
      <c r="Q253" s="17">
        <v>2</v>
      </c>
      <c r="R253" s="17">
        <v>2</v>
      </c>
    </row>
    <row r="254" spans="1:18" ht="60" x14ac:dyDescent="0.25">
      <c r="A254" s="32" t="s">
        <v>425</v>
      </c>
      <c r="B254" s="25" t="s">
        <v>25</v>
      </c>
      <c r="C254" s="36" t="s">
        <v>365</v>
      </c>
      <c r="D254" s="32" t="s">
        <v>51</v>
      </c>
      <c r="E254" s="31">
        <f>F254+G254+H254+I254+J254</f>
        <v>291.70000000000005</v>
      </c>
      <c r="F254" s="32">
        <v>67.3</v>
      </c>
      <c r="G254" s="31">
        <v>24.5</v>
      </c>
      <c r="H254" s="31">
        <f>G254</f>
        <v>24.5</v>
      </c>
      <c r="I254" s="31">
        <v>84</v>
      </c>
      <c r="J254" s="31">
        <v>91.4</v>
      </c>
      <c r="K254" s="59" t="s">
        <v>426</v>
      </c>
      <c r="L254" s="17" t="s">
        <v>115</v>
      </c>
      <c r="M254" s="17">
        <v>2</v>
      </c>
      <c r="N254" s="17">
        <v>2</v>
      </c>
      <c r="O254" s="17">
        <v>1</v>
      </c>
      <c r="P254" s="17">
        <v>1</v>
      </c>
      <c r="Q254" s="17">
        <v>1</v>
      </c>
      <c r="R254" s="17">
        <v>2</v>
      </c>
    </row>
    <row r="255" spans="1:18" ht="66.75" customHeight="1" x14ac:dyDescent="0.25">
      <c r="A255" s="50" t="s">
        <v>427</v>
      </c>
      <c r="B255" s="25"/>
      <c r="C255" s="36"/>
      <c r="D255" s="32" t="s">
        <v>51</v>
      </c>
      <c r="E255" s="31">
        <f t="shared" ref="E255" si="123">F255+G255+H255+I255+J255</f>
        <v>198.8</v>
      </c>
      <c r="F255" s="31">
        <v>90</v>
      </c>
      <c r="G255" s="31">
        <v>0</v>
      </c>
      <c r="H255" s="31">
        <f t="shared" ref="H255" si="124">G255</f>
        <v>0</v>
      </c>
      <c r="I255" s="32">
        <f t="shared" ref="I255" si="125">ROUND(H255*1.043,1)</f>
        <v>0</v>
      </c>
      <c r="J255" s="32">
        <v>108.8</v>
      </c>
      <c r="K255" s="36" t="s">
        <v>428</v>
      </c>
      <c r="L255" s="17" t="s">
        <v>47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20</v>
      </c>
    </row>
    <row r="256" spans="1:18" ht="89.25" x14ac:dyDescent="0.25">
      <c r="A256" s="32" t="s">
        <v>429</v>
      </c>
      <c r="B256" s="25" t="s">
        <v>25</v>
      </c>
      <c r="C256" s="36" t="s">
        <v>369</v>
      </c>
      <c r="D256" s="32" t="s">
        <v>51</v>
      </c>
      <c r="E256" s="32">
        <f>E257+E258+E259+E260+E261+E262+E263</f>
        <v>4265.4000000000005</v>
      </c>
      <c r="F256" s="32">
        <f t="shared" ref="F256:J256" si="126">F257+F258+F259+F260+F261+F262+F263</f>
        <v>0</v>
      </c>
      <c r="G256" s="32">
        <f t="shared" si="126"/>
        <v>0</v>
      </c>
      <c r="H256" s="32">
        <f t="shared" si="126"/>
        <v>0</v>
      </c>
      <c r="I256" s="32">
        <f t="shared" si="126"/>
        <v>0</v>
      </c>
      <c r="J256" s="32">
        <f t="shared" si="126"/>
        <v>4265.4000000000005</v>
      </c>
      <c r="K256" s="36" t="s">
        <v>430</v>
      </c>
      <c r="L256" s="17" t="s">
        <v>33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100</v>
      </c>
    </row>
    <row r="257" spans="1:18" ht="76.5" x14ac:dyDescent="0.25">
      <c r="A257" s="32" t="s">
        <v>431</v>
      </c>
      <c r="B257" s="25" t="s">
        <v>25</v>
      </c>
      <c r="C257" s="36" t="s">
        <v>369</v>
      </c>
      <c r="D257" s="32" t="s">
        <v>51</v>
      </c>
      <c r="E257" s="31">
        <f t="shared" ref="E257:E263" si="127">F257+G257+H257+I257+J257</f>
        <v>3684.4</v>
      </c>
      <c r="F257" s="32">
        <v>0</v>
      </c>
      <c r="G257" s="31">
        <v>0</v>
      </c>
      <c r="H257" s="31">
        <v>0</v>
      </c>
      <c r="I257" s="31">
        <v>0</v>
      </c>
      <c r="J257" s="31">
        <v>3684.4</v>
      </c>
      <c r="K257" s="60" t="s">
        <v>432</v>
      </c>
      <c r="L257" s="17" t="s">
        <v>39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1</v>
      </c>
    </row>
    <row r="258" spans="1:18" ht="60" x14ac:dyDescent="0.25">
      <c r="A258" s="32" t="s">
        <v>433</v>
      </c>
      <c r="B258" s="25" t="s">
        <v>25</v>
      </c>
      <c r="C258" s="36" t="s">
        <v>369</v>
      </c>
      <c r="D258" s="32" t="s">
        <v>51</v>
      </c>
      <c r="E258" s="31">
        <f t="shared" si="127"/>
        <v>57.5</v>
      </c>
      <c r="F258" s="32">
        <v>0</v>
      </c>
      <c r="G258" s="31">
        <v>0</v>
      </c>
      <c r="H258" s="31">
        <v>0</v>
      </c>
      <c r="I258" s="31">
        <f>ROUND(H258*1.043,1)</f>
        <v>0</v>
      </c>
      <c r="J258" s="31">
        <v>57.5</v>
      </c>
      <c r="K258" s="60" t="s">
        <v>434</v>
      </c>
      <c r="L258" s="17" t="s">
        <v>39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1</v>
      </c>
    </row>
    <row r="259" spans="1:18" ht="60" x14ac:dyDescent="0.25">
      <c r="A259" s="32" t="s">
        <v>435</v>
      </c>
      <c r="B259" s="25" t="s">
        <v>25</v>
      </c>
      <c r="C259" s="36" t="s">
        <v>369</v>
      </c>
      <c r="D259" s="32" t="s">
        <v>51</v>
      </c>
      <c r="E259" s="31">
        <f t="shared" si="127"/>
        <v>78.8</v>
      </c>
      <c r="F259" s="32">
        <v>0</v>
      </c>
      <c r="G259" s="32">
        <f>ROUND(G257*2.14/100,1)</f>
        <v>0</v>
      </c>
      <c r="H259" s="32">
        <f t="shared" ref="H259:J259" si="128">ROUND(H257*2.14/100,1)</f>
        <v>0</v>
      </c>
      <c r="I259" s="32">
        <f t="shared" si="128"/>
        <v>0</v>
      </c>
      <c r="J259" s="32">
        <f t="shared" si="128"/>
        <v>78.8</v>
      </c>
      <c r="K259" s="60" t="s">
        <v>436</v>
      </c>
      <c r="L259" s="17" t="s">
        <v>39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1</v>
      </c>
    </row>
    <row r="260" spans="1:18" ht="60" x14ac:dyDescent="0.25">
      <c r="A260" s="32" t="s">
        <v>437</v>
      </c>
      <c r="B260" s="25" t="s">
        <v>25</v>
      </c>
      <c r="C260" s="36" t="s">
        <v>369</v>
      </c>
      <c r="D260" s="32" t="s">
        <v>51</v>
      </c>
      <c r="E260" s="31">
        <f t="shared" si="127"/>
        <v>110.9</v>
      </c>
      <c r="F260" s="32">
        <v>0</v>
      </c>
      <c r="G260" s="32">
        <v>0</v>
      </c>
      <c r="H260" s="32">
        <v>0</v>
      </c>
      <c r="I260" s="31">
        <v>0</v>
      </c>
      <c r="J260" s="31">
        <v>110.9</v>
      </c>
      <c r="K260" s="60" t="s">
        <v>438</v>
      </c>
      <c r="L260" s="17" t="s">
        <v>39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1</v>
      </c>
    </row>
    <row r="261" spans="1:18" ht="60" x14ac:dyDescent="0.25">
      <c r="A261" s="32" t="s">
        <v>439</v>
      </c>
      <c r="B261" s="25" t="s">
        <v>25</v>
      </c>
      <c r="C261" s="36" t="s">
        <v>369</v>
      </c>
      <c r="D261" s="32" t="s">
        <v>51</v>
      </c>
      <c r="E261" s="31">
        <f t="shared" si="127"/>
        <v>111.5</v>
      </c>
      <c r="F261" s="32">
        <v>0</v>
      </c>
      <c r="G261" s="32">
        <v>0</v>
      </c>
      <c r="H261" s="32">
        <v>0</v>
      </c>
      <c r="I261" s="31">
        <v>0</v>
      </c>
      <c r="J261" s="31">
        <v>111.5</v>
      </c>
      <c r="K261" s="60" t="s">
        <v>440</v>
      </c>
      <c r="L261" s="17" t="s">
        <v>39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1</v>
      </c>
    </row>
    <row r="262" spans="1:18" ht="63.75" x14ac:dyDescent="0.25">
      <c r="A262" s="32" t="s">
        <v>441</v>
      </c>
      <c r="B262" s="25" t="s">
        <v>25</v>
      </c>
      <c r="C262" s="36" t="s">
        <v>369</v>
      </c>
      <c r="D262" s="32" t="s">
        <v>51</v>
      </c>
      <c r="E262" s="31">
        <f t="shared" si="127"/>
        <v>22.3</v>
      </c>
      <c r="F262" s="32">
        <v>0</v>
      </c>
      <c r="G262" s="32">
        <v>0</v>
      </c>
      <c r="H262" s="32">
        <v>0</v>
      </c>
      <c r="I262" s="31">
        <v>0</v>
      </c>
      <c r="J262" s="31">
        <v>22.3</v>
      </c>
      <c r="K262" s="60" t="s">
        <v>442</v>
      </c>
      <c r="L262" s="17" t="s">
        <v>39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1</v>
      </c>
    </row>
    <row r="263" spans="1:18" ht="60" x14ac:dyDescent="0.25">
      <c r="A263" s="32" t="s">
        <v>443</v>
      </c>
      <c r="B263" s="25" t="s">
        <v>25</v>
      </c>
      <c r="C263" s="36" t="s">
        <v>369</v>
      </c>
      <c r="D263" s="32" t="s">
        <v>51</v>
      </c>
      <c r="E263" s="31">
        <f t="shared" si="127"/>
        <v>200</v>
      </c>
      <c r="F263" s="32">
        <v>0</v>
      </c>
      <c r="G263" s="32">
        <v>0</v>
      </c>
      <c r="H263" s="32">
        <v>0</v>
      </c>
      <c r="I263" s="32">
        <v>0</v>
      </c>
      <c r="J263" s="32">
        <v>200</v>
      </c>
      <c r="K263" s="60" t="s">
        <v>444</v>
      </c>
      <c r="L263" s="17" t="s">
        <v>39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1</v>
      </c>
    </row>
    <row r="264" spans="1:18" ht="60" x14ac:dyDescent="0.25">
      <c r="A264" s="32" t="s">
        <v>445</v>
      </c>
      <c r="B264" s="25" t="s">
        <v>25</v>
      </c>
      <c r="C264" s="36" t="s">
        <v>365</v>
      </c>
      <c r="D264" s="32" t="s">
        <v>51</v>
      </c>
      <c r="E264" s="32">
        <f>E265</f>
        <v>76</v>
      </c>
      <c r="F264" s="32">
        <f t="shared" ref="F264:J264" si="129">F265</f>
        <v>0</v>
      </c>
      <c r="G264" s="32">
        <f t="shared" si="129"/>
        <v>0</v>
      </c>
      <c r="H264" s="32">
        <f t="shared" si="129"/>
        <v>0</v>
      </c>
      <c r="I264" s="32">
        <f t="shared" si="129"/>
        <v>0</v>
      </c>
      <c r="J264" s="32">
        <f t="shared" si="129"/>
        <v>76</v>
      </c>
      <c r="K264" s="36" t="s">
        <v>446</v>
      </c>
      <c r="L264" s="17" t="s">
        <v>33</v>
      </c>
      <c r="M264" s="17">
        <v>100</v>
      </c>
      <c r="N264" s="17">
        <v>0</v>
      </c>
      <c r="O264" s="17">
        <v>0</v>
      </c>
      <c r="P264" s="17">
        <v>0</v>
      </c>
      <c r="Q264" s="17">
        <v>0</v>
      </c>
      <c r="R264" s="17">
        <v>100</v>
      </c>
    </row>
    <row r="265" spans="1:18" ht="60" x14ac:dyDescent="0.25">
      <c r="A265" s="32" t="s">
        <v>447</v>
      </c>
      <c r="B265" s="25" t="s">
        <v>25</v>
      </c>
      <c r="C265" s="36" t="s">
        <v>365</v>
      </c>
      <c r="D265" s="32" t="s">
        <v>51</v>
      </c>
      <c r="E265" s="31">
        <f>F265+G265+H265+I265+J265</f>
        <v>76</v>
      </c>
      <c r="F265" s="32">
        <v>0</v>
      </c>
      <c r="G265" s="31">
        <v>0</v>
      </c>
      <c r="H265" s="31">
        <v>0</v>
      </c>
      <c r="I265" s="31">
        <v>0</v>
      </c>
      <c r="J265" s="31">
        <v>76</v>
      </c>
      <c r="K265" s="60" t="s">
        <v>448</v>
      </c>
      <c r="L265" s="17" t="s">
        <v>39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1</v>
      </c>
    </row>
    <row r="266" spans="1:18" ht="60" x14ac:dyDescent="0.25">
      <c r="A266" s="32" t="s">
        <v>449</v>
      </c>
      <c r="B266" s="25" t="s">
        <v>25</v>
      </c>
      <c r="C266" s="36" t="s">
        <v>369</v>
      </c>
      <c r="D266" s="32" t="s">
        <v>51</v>
      </c>
      <c r="E266" s="32">
        <f>E267</f>
        <v>102.5</v>
      </c>
      <c r="F266" s="32">
        <f>F267</f>
        <v>0</v>
      </c>
      <c r="G266" s="32">
        <f t="shared" ref="G266:J266" si="130">G267</f>
        <v>0</v>
      </c>
      <c r="H266" s="32">
        <f t="shared" si="130"/>
        <v>0</v>
      </c>
      <c r="I266" s="32">
        <f t="shared" si="130"/>
        <v>0</v>
      </c>
      <c r="J266" s="32">
        <f t="shared" si="130"/>
        <v>102.5</v>
      </c>
      <c r="K266" s="36" t="s">
        <v>450</v>
      </c>
      <c r="L266" s="17" t="s">
        <v>33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100</v>
      </c>
    </row>
    <row r="267" spans="1:18" ht="60" x14ac:dyDescent="0.25">
      <c r="A267" s="32" t="s">
        <v>451</v>
      </c>
      <c r="B267" s="25" t="s">
        <v>25</v>
      </c>
      <c r="C267" s="36" t="s">
        <v>369</v>
      </c>
      <c r="D267" s="32" t="s">
        <v>51</v>
      </c>
      <c r="E267" s="31">
        <f>F267+G267+H267+I267+J267</f>
        <v>102.5</v>
      </c>
      <c r="F267" s="32">
        <v>0</v>
      </c>
      <c r="G267" s="31">
        <v>0</v>
      </c>
      <c r="H267" s="31">
        <f>G267</f>
        <v>0</v>
      </c>
      <c r="I267" s="31">
        <f>ROUND(H267*1.043,1)</f>
        <v>0</v>
      </c>
      <c r="J267" s="31">
        <v>102.5</v>
      </c>
      <c r="K267" s="59" t="s">
        <v>452</v>
      </c>
      <c r="L267" s="17" t="s">
        <v>39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1</v>
      </c>
    </row>
    <row r="268" spans="1:18" ht="76.5" x14ac:dyDescent="0.25">
      <c r="A268" s="45" t="s">
        <v>453</v>
      </c>
      <c r="B268" s="25" t="s">
        <v>25</v>
      </c>
      <c r="C268" s="36" t="s">
        <v>26</v>
      </c>
      <c r="D268" s="32" t="s">
        <v>51</v>
      </c>
      <c r="E268" s="31">
        <f>E269</f>
        <v>692.1</v>
      </c>
      <c r="F268" s="31">
        <f t="shared" ref="F268:J269" si="131">F269</f>
        <v>0</v>
      </c>
      <c r="G268" s="31">
        <f t="shared" si="131"/>
        <v>0</v>
      </c>
      <c r="H268" s="31">
        <f t="shared" si="131"/>
        <v>0</v>
      </c>
      <c r="I268" s="31">
        <f t="shared" si="131"/>
        <v>0</v>
      </c>
      <c r="J268" s="31">
        <f t="shared" si="131"/>
        <v>692.1</v>
      </c>
      <c r="K268" s="64"/>
      <c r="L268" s="17"/>
      <c r="M268" s="17"/>
      <c r="N268" s="17"/>
      <c r="O268" s="17"/>
      <c r="P268" s="17"/>
      <c r="Q268" s="17"/>
      <c r="R268" s="17"/>
    </row>
    <row r="269" spans="1:18" ht="115.5" x14ac:dyDescent="0.25">
      <c r="A269" s="32" t="s">
        <v>454</v>
      </c>
      <c r="B269" s="25" t="s">
        <v>25</v>
      </c>
      <c r="C269" s="36" t="s">
        <v>26</v>
      </c>
      <c r="D269" s="32" t="s">
        <v>51</v>
      </c>
      <c r="E269" s="32">
        <f>E270</f>
        <v>692.1</v>
      </c>
      <c r="F269" s="32">
        <f t="shared" si="131"/>
        <v>0</v>
      </c>
      <c r="G269" s="32">
        <f>G270</f>
        <v>0</v>
      </c>
      <c r="H269" s="32">
        <f t="shared" si="131"/>
        <v>0</v>
      </c>
      <c r="I269" s="32">
        <f t="shared" si="131"/>
        <v>0</v>
      </c>
      <c r="J269" s="32">
        <f t="shared" si="131"/>
        <v>692.1</v>
      </c>
      <c r="K269" s="65" t="s">
        <v>455</v>
      </c>
      <c r="L269" s="17" t="s">
        <v>39</v>
      </c>
      <c r="M269" s="17">
        <v>50</v>
      </c>
      <c r="N269" s="17">
        <v>0</v>
      </c>
      <c r="O269" s="17">
        <v>0</v>
      </c>
      <c r="P269" s="17">
        <v>0</v>
      </c>
      <c r="Q269" s="17">
        <v>0</v>
      </c>
      <c r="R269" s="17">
        <v>45</v>
      </c>
    </row>
    <row r="270" spans="1:18" ht="76.5" x14ac:dyDescent="0.25">
      <c r="A270" s="32" t="s">
        <v>456</v>
      </c>
      <c r="B270" s="25" t="s">
        <v>25</v>
      </c>
      <c r="C270" s="36" t="s">
        <v>26</v>
      </c>
      <c r="D270" s="32" t="s">
        <v>51</v>
      </c>
      <c r="E270" s="32">
        <f>E271+E272+E273</f>
        <v>692.1</v>
      </c>
      <c r="F270" s="32">
        <f t="shared" ref="F270:J270" si="132">F271+F272+F273</f>
        <v>0</v>
      </c>
      <c r="G270" s="32">
        <f t="shared" si="132"/>
        <v>0</v>
      </c>
      <c r="H270" s="32">
        <f t="shared" si="132"/>
        <v>0</v>
      </c>
      <c r="I270" s="32">
        <f t="shared" si="132"/>
        <v>0</v>
      </c>
      <c r="J270" s="32">
        <f t="shared" si="132"/>
        <v>692.1</v>
      </c>
      <c r="K270" s="66" t="s">
        <v>457</v>
      </c>
      <c r="L270" s="17" t="s">
        <v>39</v>
      </c>
      <c r="M270" s="17">
        <v>50</v>
      </c>
      <c r="N270" s="17">
        <v>0</v>
      </c>
      <c r="O270" s="17">
        <v>0</v>
      </c>
      <c r="P270" s="17">
        <v>0</v>
      </c>
      <c r="Q270" s="17">
        <v>0</v>
      </c>
      <c r="R270" s="17">
        <v>45</v>
      </c>
    </row>
    <row r="271" spans="1:18" ht="90" x14ac:dyDescent="0.25">
      <c r="A271" s="32" t="s">
        <v>458</v>
      </c>
      <c r="B271" s="25" t="s">
        <v>25</v>
      </c>
      <c r="C271" s="36" t="s">
        <v>26</v>
      </c>
      <c r="D271" s="32" t="s">
        <v>51</v>
      </c>
      <c r="E271" s="31">
        <f>F271+G271+H271+I271+J271</f>
        <v>692.1</v>
      </c>
      <c r="F271" s="32">
        <v>0</v>
      </c>
      <c r="G271" s="31">
        <v>0</v>
      </c>
      <c r="H271" s="31">
        <v>0</v>
      </c>
      <c r="I271" s="31">
        <v>0</v>
      </c>
      <c r="J271" s="31">
        <v>692.1</v>
      </c>
      <c r="K271" s="67" t="s">
        <v>459</v>
      </c>
      <c r="L271" s="17" t="s">
        <v>47</v>
      </c>
      <c r="M271" s="17">
        <v>525</v>
      </c>
      <c r="N271" s="17">
        <v>0</v>
      </c>
      <c r="O271" s="17">
        <v>0</v>
      </c>
      <c r="P271" s="17">
        <v>0</v>
      </c>
      <c r="Q271" s="17">
        <v>0</v>
      </c>
      <c r="R271" s="17">
        <v>550</v>
      </c>
    </row>
    <row r="272" spans="1:18" ht="76.5" hidden="1" x14ac:dyDescent="0.25">
      <c r="A272" s="32" t="s">
        <v>460</v>
      </c>
      <c r="B272" s="25" t="s">
        <v>25</v>
      </c>
      <c r="C272" s="36" t="s">
        <v>26</v>
      </c>
      <c r="D272" s="32" t="s">
        <v>51</v>
      </c>
      <c r="E272" s="31">
        <f t="shared" ref="E272:E273" si="133">F272+G272+H272</f>
        <v>0</v>
      </c>
      <c r="F272" s="32">
        <v>0</v>
      </c>
      <c r="G272" s="31">
        <v>0</v>
      </c>
      <c r="H272" s="31">
        <v>0</v>
      </c>
      <c r="I272" s="31">
        <v>0</v>
      </c>
      <c r="J272" s="31">
        <v>0</v>
      </c>
      <c r="K272" s="36" t="s">
        <v>461</v>
      </c>
      <c r="L272" s="17" t="s">
        <v>391</v>
      </c>
      <c r="M272" s="17">
        <v>10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</row>
    <row r="273" spans="1:18" ht="76.5" hidden="1" x14ac:dyDescent="0.25">
      <c r="A273" s="32" t="s">
        <v>462</v>
      </c>
      <c r="B273" s="25" t="s">
        <v>25</v>
      </c>
      <c r="C273" s="36" t="s">
        <v>26</v>
      </c>
      <c r="D273" s="32" t="s">
        <v>51</v>
      </c>
      <c r="E273" s="31">
        <f t="shared" si="133"/>
        <v>0</v>
      </c>
      <c r="F273" s="32">
        <v>0</v>
      </c>
      <c r="G273" s="31">
        <v>0</v>
      </c>
      <c r="H273" s="31">
        <v>0</v>
      </c>
      <c r="I273" s="31">
        <v>0</v>
      </c>
      <c r="J273" s="31">
        <v>0</v>
      </c>
      <c r="K273" s="36" t="s">
        <v>463</v>
      </c>
      <c r="L273" s="17" t="s">
        <v>391</v>
      </c>
      <c r="M273" s="17">
        <v>12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</row>
    <row r="274" spans="1:18" ht="85.5" x14ac:dyDescent="0.25">
      <c r="A274" s="45" t="s">
        <v>464</v>
      </c>
      <c r="B274" s="25" t="s">
        <v>25</v>
      </c>
      <c r="C274" s="36" t="s">
        <v>26</v>
      </c>
      <c r="D274" s="32" t="s">
        <v>51</v>
      </c>
      <c r="E274" s="31">
        <f>E275</f>
        <v>1845.2</v>
      </c>
      <c r="F274" s="31">
        <f t="shared" ref="F274:J274" si="134">F275</f>
        <v>577.20000000000005</v>
      </c>
      <c r="G274" s="31">
        <f t="shared" si="134"/>
        <v>59.1</v>
      </c>
      <c r="H274" s="31">
        <f t="shared" si="134"/>
        <v>59.1</v>
      </c>
      <c r="I274" s="31">
        <f t="shared" si="134"/>
        <v>54.4</v>
      </c>
      <c r="J274" s="31">
        <f t="shared" si="134"/>
        <v>1095.4000000000001</v>
      </c>
      <c r="K274" s="68"/>
      <c r="L274" s="44"/>
      <c r="M274" s="44"/>
      <c r="N274" s="44"/>
      <c r="O274" s="44"/>
      <c r="P274" s="44"/>
      <c r="Q274" s="44"/>
      <c r="R274" s="44"/>
    </row>
    <row r="275" spans="1:18" ht="127.5" x14ac:dyDescent="0.25">
      <c r="A275" s="69" t="s">
        <v>465</v>
      </c>
      <c r="B275" s="25" t="s">
        <v>25</v>
      </c>
      <c r="C275" s="36" t="s">
        <v>26</v>
      </c>
      <c r="D275" s="32" t="s">
        <v>51</v>
      </c>
      <c r="E275" s="31">
        <f>E276+E278</f>
        <v>1845.2</v>
      </c>
      <c r="F275" s="31">
        <f t="shared" ref="F275:J275" si="135">F276+F278</f>
        <v>577.20000000000005</v>
      </c>
      <c r="G275" s="31">
        <f t="shared" si="135"/>
        <v>59.1</v>
      </c>
      <c r="H275" s="31">
        <f t="shared" si="135"/>
        <v>59.1</v>
      </c>
      <c r="I275" s="31">
        <f t="shared" si="135"/>
        <v>54.4</v>
      </c>
      <c r="J275" s="31">
        <f t="shared" si="135"/>
        <v>1095.4000000000001</v>
      </c>
      <c r="K275" s="48" t="s">
        <v>466</v>
      </c>
      <c r="L275" s="40" t="s">
        <v>90</v>
      </c>
      <c r="M275" s="40">
        <v>50</v>
      </c>
      <c r="N275" s="40">
        <v>50</v>
      </c>
      <c r="O275" s="40">
        <v>45</v>
      </c>
      <c r="P275" s="40">
        <v>45</v>
      </c>
      <c r="Q275" s="40">
        <v>45</v>
      </c>
      <c r="R275" s="40">
        <v>45</v>
      </c>
    </row>
    <row r="276" spans="1:18" ht="60" x14ac:dyDescent="0.25">
      <c r="A276" s="50" t="s">
        <v>467</v>
      </c>
      <c r="B276" s="25" t="s">
        <v>25</v>
      </c>
      <c r="C276" s="36"/>
      <c r="D276" s="32" t="s">
        <v>51</v>
      </c>
      <c r="E276" s="31">
        <f>E277</f>
        <v>1766.7</v>
      </c>
      <c r="F276" s="31">
        <f t="shared" ref="F276:J276" si="136">F277</f>
        <v>577.20000000000005</v>
      </c>
      <c r="G276" s="31">
        <f t="shared" si="136"/>
        <v>59.1</v>
      </c>
      <c r="H276" s="31">
        <f t="shared" si="136"/>
        <v>59.1</v>
      </c>
      <c r="I276" s="31">
        <f t="shared" si="136"/>
        <v>54.4</v>
      </c>
      <c r="J276" s="31">
        <f t="shared" si="136"/>
        <v>1016.9</v>
      </c>
      <c r="K276" s="36" t="s">
        <v>468</v>
      </c>
      <c r="L276" s="42" t="s">
        <v>39</v>
      </c>
      <c r="M276" s="42">
        <v>50</v>
      </c>
      <c r="N276" s="42">
        <v>50</v>
      </c>
      <c r="O276" s="42">
        <v>45</v>
      </c>
      <c r="P276" s="42">
        <v>45</v>
      </c>
      <c r="Q276" s="42">
        <v>45</v>
      </c>
      <c r="R276" s="42">
        <v>45</v>
      </c>
    </row>
    <row r="277" spans="1:18" ht="75" x14ac:dyDescent="0.25">
      <c r="A277" s="32" t="s">
        <v>469</v>
      </c>
      <c r="B277" s="25" t="s">
        <v>25</v>
      </c>
      <c r="C277" s="36" t="s">
        <v>470</v>
      </c>
      <c r="D277" s="32" t="s">
        <v>51</v>
      </c>
      <c r="E277" s="31">
        <f>F277+G277+H277+I277+J277</f>
        <v>1766.7</v>
      </c>
      <c r="F277" s="32">
        <v>577.20000000000005</v>
      </c>
      <c r="G277" s="31">
        <v>59.1</v>
      </c>
      <c r="H277" s="31">
        <v>59.1</v>
      </c>
      <c r="I277" s="31">
        <v>54.4</v>
      </c>
      <c r="J277" s="31">
        <v>1016.9</v>
      </c>
      <c r="K277" s="70" t="s">
        <v>471</v>
      </c>
      <c r="L277" s="30" t="s">
        <v>47</v>
      </c>
      <c r="M277" s="30">
        <v>211</v>
      </c>
      <c r="N277" s="30">
        <v>34</v>
      </c>
      <c r="O277" s="30">
        <v>302</v>
      </c>
      <c r="P277" s="30">
        <v>268</v>
      </c>
      <c r="Q277" s="30">
        <v>211</v>
      </c>
      <c r="R277" s="30">
        <v>268</v>
      </c>
    </row>
    <row r="278" spans="1:18" ht="63.75" x14ac:dyDescent="0.25">
      <c r="A278" s="32" t="s">
        <v>472</v>
      </c>
      <c r="B278" s="25" t="s">
        <v>25</v>
      </c>
      <c r="C278" s="36"/>
      <c r="D278" s="32" t="s">
        <v>51</v>
      </c>
      <c r="E278" s="31">
        <f>E279+E280+E281+E282</f>
        <v>78.5</v>
      </c>
      <c r="F278" s="31">
        <f>F279+F280+F281+F282</f>
        <v>0</v>
      </c>
      <c r="G278" s="31">
        <v>0</v>
      </c>
      <c r="H278" s="31">
        <v>0</v>
      </c>
      <c r="I278" s="31">
        <v>0</v>
      </c>
      <c r="J278" s="31">
        <f t="shared" ref="J278" si="137">J279+J280+J281+J282</f>
        <v>78.5</v>
      </c>
      <c r="K278" s="36" t="s">
        <v>473</v>
      </c>
      <c r="L278" s="30" t="s">
        <v>39</v>
      </c>
      <c r="M278" s="30">
        <v>50</v>
      </c>
      <c r="N278" s="30">
        <v>45</v>
      </c>
      <c r="O278" s="30">
        <v>45</v>
      </c>
      <c r="P278" s="30">
        <v>45</v>
      </c>
      <c r="Q278" s="30">
        <v>45</v>
      </c>
      <c r="R278" s="30">
        <v>45</v>
      </c>
    </row>
    <row r="279" spans="1:18" ht="60" x14ac:dyDescent="0.25">
      <c r="A279" s="32" t="s">
        <v>474</v>
      </c>
      <c r="B279" s="25" t="s">
        <v>25</v>
      </c>
      <c r="C279" s="36" t="s">
        <v>470</v>
      </c>
      <c r="D279" s="32" t="s">
        <v>51</v>
      </c>
      <c r="E279" s="31">
        <f>F279+G279+H279+I279+J279</f>
        <v>38.9</v>
      </c>
      <c r="F279" s="32">
        <v>0</v>
      </c>
      <c r="G279" s="31">
        <v>0</v>
      </c>
      <c r="H279" s="31">
        <v>0</v>
      </c>
      <c r="I279" s="31">
        <v>0</v>
      </c>
      <c r="J279" s="31">
        <v>38.9</v>
      </c>
      <c r="K279" s="49" t="s">
        <v>475</v>
      </c>
      <c r="L279" s="30" t="s">
        <v>476</v>
      </c>
      <c r="M279" s="30">
        <v>10</v>
      </c>
      <c r="N279" s="30">
        <v>11</v>
      </c>
      <c r="O279" s="30">
        <v>20</v>
      </c>
      <c r="P279" s="30">
        <v>20</v>
      </c>
      <c r="Q279" s="30">
        <v>20</v>
      </c>
      <c r="R279" s="30">
        <v>20</v>
      </c>
    </row>
    <row r="280" spans="1:18" ht="63.75" x14ac:dyDescent="0.25">
      <c r="A280" s="32" t="s">
        <v>477</v>
      </c>
      <c r="B280" s="25" t="s">
        <v>25</v>
      </c>
      <c r="C280" s="36" t="s">
        <v>470</v>
      </c>
      <c r="D280" s="32" t="s">
        <v>51</v>
      </c>
      <c r="E280" s="31">
        <f>F280+G280+H280+I280+J280</f>
        <v>34.6</v>
      </c>
      <c r="F280" s="31">
        <v>0</v>
      </c>
      <c r="G280" s="31">
        <v>0</v>
      </c>
      <c r="H280" s="31">
        <v>0</v>
      </c>
      <c r="I280" s="31">
        <v>0</v>
      </c>
      <c r="J280" s="31">
        <v>34.6</v>
      </c>
      <c r="K280" s="36" t="s">
        <v>478</v>
      </c>
      <c r="L280" s="17" t="s">
        <v>476</v>
      </c>
      <c r="M280" s="30">
        <v>25</v>
      </c>
      <c r="N280" s="30">
        <v>0</v>
      </c>
      <c r="O280" s="30">
        <v>25</v>
      </c>
      <c r="P280" s="30">
        <v>25</v>
      </c>
      <c r="Q280" s="30">
        <v>25</v>
      </c>
      <c r="R280" s="30">
        <v>25</v>
      </c>
    </row>
    <row r="281" spans="1:18" ht="60" hidden="1" x14ac:dyDescent="0.25">
      <c r="A281" s="32" t="s">
        <v>479</v>
      </c>
      <c r="B281" s="25" t="s">
        <v>25</v>
      </c>
      <c r="C281" s="36" t="s">
        <v>470</v>
      </c>
      <c r="D281" s="32" t="s">
        <v>51</v>
      </c>
      <c r="E281" s="31">
        <f>F281+G281+H281+I281+J281</f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70" t="s">
        <v>480</v>
      </c>
      <c r="L281" s="17" t="s">
        <v>476</v>
      </c>
      <c r="M281" s="30">
        <v>10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</row>
    <row r="282" spans="1:18" ht="83.45" customHeight="1" x14ac:dyDescent="0.25">
      <c r="A282" s="71" t="s">
        <v>481</v>
      </c>
      <c r="B282" s="22" t="s">
        <v>25</v>
      </c>
      <c r="C282" s="36" t="s">
        <v>26</v>
      </c>
      <c r="D282" s="32" t="s">
        <v>51</v>
      </c>
      <c r="E282" s="31">
        <f>F282+G282+H282+I282+J282</f>
        <v>5</v>
      </c>
      <c r="F282" s="31">
        <v>0</v>
      </c>
      <c r="G282" s="31">
        <v>0</v>
      </c>
      <c r="H282" s="31">
        <v>0</v>
      </c>
      <c r="I282" s="31">
        <v>0</v>
      </c>
      <c r="J282" s="31">
        <v>5</v>
      </c>
      <c r="K282" s="70" t="s">
        <v>482</v>
      </c>
      <c r="L282" s="30" t="s">
        <v>47</v>
      </c>
      <c r="M282" s="30">
        <v>12</v>
      </c>
      <c r="N282" s="30">
        <v>0</v>
      </c>
      <c r="O282" s="30">
        <v>0</v>
      </c>
      <c r="P282" s="30">
        <v>0</v>
      </c>
      <c r="Q282" s="30">
        <v>0</v>
      </c>
      <c r="R282" s="30">
        <v>15</v>
      </c>
    </row>
    <row r="283" spans="1:18" x14ac:dyDescent="0.25">
      <c r="A283" s="7" t="s">
        <v>483</v>
      </c>
      <c r="K283" s="72"/>
    </row>
    <row r="284" spans="1:18" x14ac:dyDescent="0.25">
      <c r="K284" s="72"/>
    </row>
    <row r="285" spans="1:18" x14ac:dyDescent="0.25">
      <c r="K285" s="72"/>
    </row>
    <row r="286" spans="1:18" x14ac:dyDescent="0.25">
      <c r="K286" s="72"/>
    </row>
    <row r="287" spans="1:18" x14ac:dyDescent="0.25">
      <c r="K287" s="72"/>
    </row>
    <row r="288" spans="1:18" x14ac:dyDescent="0.25">
      <c r="K288" s="72"/>
    </row>
    <row r="289" spans="11:11" x14ac:dyDescent="0.25">
      <c r="K289" s="73"/>
    </row>
  </sheetData>
  <mergeCells count="83">
    <mergeCell ref="A216:A218"/>
    <mergeCell ref="C216:C218"/>
    <mergeCell ref="K216:K218"/>
    <mergeCell ref="A231:A233"/>
    <mergeCell ref="C231:C233"/>
    <mergeCell ref="A219:A221"/>
    <mergeCell ref="C219:C221"/>
    <mergeCell ref="K219:K221"/>
    <mergeCell ref="A228:A230"/>
    <mergeCell ref="C228:C230"/>
    <mergeCell ref="K228:K230"/>
    <mergeCell ref="A123:A125"/>
    <mergeCell ref="C123:C125"/>
    <mergeCell ref="K123:K125"/>
    <mergeCell ref="A127:A129"/>
    <mergeCell ref="C127:C129"/>
    <mergeCell ref="K127:K129"/>
    <mergeCell ref="A102:A104"/>
    <mergeCell ref="C102:C104"/>
    <mergeCell ref="K102:K104"/>
    <mergeCell ref="A120:A122"/>
    <mergeCell ref="C120:C122"/>
    <mergeCell ref="K120:K122"/>
    <mergeCell ref="A92:A94"/>
    <mergeCell ref="B92:B94"/>
    <mergeCell ref="C92:C94"/>
    <mergeCell ref="K92:K94"/>
    <mergeCell ref="A95:A97"/>
    <mergeCell ref="B95:B97"/>
    <mergeCell ref="C95:C97"/>
    <mergeCell ref="K95:K97"/>
    <mergeCell ref="K37:K39"/>
    <mergeCell ref="A89:A91"/>
    <mergeCell ref="B89:B91"/>
    <mergeCell ref="C89:C91"/>
    <mergeCell ref="K89:K91"/>
    <mergeCell ref="B25:B27"/>
    <mergeCell ref="C25:C27"/>
    <mergeCell ref="K25:K27"/>
    <mergeCell ref="A86:A88"/>
    <mergeCell ref="B86:B88"/>
    <mergeCell ref="C86:C88"/>
    <mergeCell ref="A31:A33"/>
    <mergeCell ref="B31:B33"/>
    <mergeCell ref="C31:C33"/>
    <mergeCell ref="A34:A36"/>
    <mergeCell ref="B34:B36"/>
    <mergeCell ref="C34:C36"/>
    <mergeCell ref="K34:K36"/>
    <mergeCell ref="A37:A39"/>
    <mergeCell ref="B37:B39"/>
    <mergeCell ref="C37:C39"/>
    <mergeCell ref="A28:A30"/>
    <mergeCell ref="B28:B30"/>
    <mergeCell ref="C28:C30"/>
    <mergeCell ref="K28:K30"/>
    <mergeCell ref="A21:A24"/>
    <mergeCell ref="B21:B24"/>
    <mergeCell ref="C21:C24"/>
    <mergeCell ref="K21:K22"/>
    <mergeCell ref="D22:D23"/>
    <mergeCell ref="E22:E23"/>
    <mergeCell ref="F22:F23"/>
    <mergeCell ref="G22:G23"/>
    <mergeCell ref="H22:H23"/>
    <mergeCell ref="I22:I23"/>
    <mergeCell ref="J22:J23"/>
    <mergeCell ref="A25:A27"/>
    <mergeCell ref="A15:A17"/>
    <mergeCell ref="B15:B17"/>
    <mergeCell ref="C15:C17"/>
    <mergeCell ref="K15:K17"/>
    <mergeCell ref="A18:A20"/>
    <mergeCell ref="B18:B20"/>
    <mergeCell ref="C18:C20"/>
    <mergeCell ref="K18:K20"/>
    <mergeCell ref="E9:K11"/>
    <mergeCell ref="A13:A14"/>
    <mergeCell ref="B13:B14"/>
    <mergeCell ref="C13:C14"/>
    <mergeCell ref="D13:D14"/>
    <mergeCell ref="E13:J13"/>
    <mergeCell ref="K13:P13"/>
  </mergeCells>
  <pageMargins left="0" right="0" top="0.74803149606299213" bottom="0" header="0.31496062992125984" footer="0.31496062992125984"/>
  <pageSetup paperSize="9" scale="58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262</dc:creator>
  <cp:lastModifiedBy>Ольга Фоменко</cp:lastModifiedBy>
  <cp:lastPrinted>2017-08-16T06:57:48Z</cp:lastPrinted>
  <dcterms:created xsi:type="dcterms:W3CDTF">2017-07-31T09:39:37Z</dcterms:created>
  <dcterms:modified xsi:type="dcterms:W3CDTF">2017-08-16T06:58:00Z</dcterms:modified>
</cp:coreProperties>
</file>